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Bilance P+V" sheetId="1" r:id="rId1"/>
    <sheet name="příjmy OD" sheetId="2" r:id="rId2"/>
    <sheet name="2406" sheetId="3" r:id="rId3"/>
  </sheets>
  <definedNames>
    <definedName name="_xlnm.Print_Titles" localSheetId="2">'2406'!$5:$6</definedName>
  </definedNames>
  <calcPr fullCalcOnLoad="1"/>
</workbook>
</file>

<file path=xl/sharedStrings.xml><?xml version="1.0" encoding="utf-8"?>
<sst xmlns="http://schemas.openxmlformats.org/spreadsheetml/2006/main" count="1038" uniqueCount="357">
  <si>
    <t>Úprava</t>
  </si>
  <si>
    <t>Ukazatel  (tis.Kč)</t>
  </si>
  <si>
    <t>Pol.</t>
  </si>
  <si>
    <t>tis. Kč</t>
  </si>
  <si>
    <t>kap.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</si>
  <si>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</si>
  <si>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</si>
  <si>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</si>
  <si>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</si>
  <si>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</si>
  <si>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</si>
  <si>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</si>
  <si>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</si>
  <si>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</si>
  <si>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</si>
  <si>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</si>
  <si>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</si>
  <si>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</si>
  <si>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</si>
  <si>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</si>
  <si>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</si>
  <si>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</si>
  <si>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</si>
  <si>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</si>
  <si>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</si>
  <si>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</si>
  <si>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</si>
  <si>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</si>
  <si>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</si>
  <si>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správce rozpočtových výdajů = odbor dopravy</t>
  </si>
  <si>
    <t>Bilance příjmů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</si>
  <si>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</si>
  <si>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</si>
  <si>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</si>
  <si>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Bilance výdajů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</si>
  <si>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</si>
  <si>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</si>
  <si>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</si>
  <si>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</si>
  <si>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</si>
  <si>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</si>
  <si>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</si>
  <si>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</si>
  <si>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</si>
  <si>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</si>
  <si>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</si>
  <si>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</si>
  <si>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</si>
  <si>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</si>
  <si>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</si>
  <si>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</si>
  <si>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</si>
  <si>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</si>
  <si>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</si>
  <si>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</si>
  <si>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</si>
  <si>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</si>
  <si>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Poznámka:</t>
  </si>
  <si>
    <t>běžné a kapitálové výdaje resortu celkem</t>
  </si>
  <si>
    <t>stavba nebo rekonstrukce silnice</t>
  </si>
  <si>
    <t>Kap.915-energie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</si>
  <si>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</si>
  <si>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</si>
  <si>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</si>
  <si>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</si>
  <si>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 xml:space="preserve">    resort.účel. inv. dot.</t>
  </si>
  <si>
    <t xml:space="preserve">    investiční dotace od obcí </t>
  </si>
  <si>
    <t>4. úvěr</t>
  </si>
  <si>
    <t>81xx</t>
  </si>
  <si>
    <t>5. uhrazené splátky krátkod.půjč.</t>
  </si>
  <si>
    <t>Rozpis výdajů kapitoly 924</t>
  </si>
  <si>
    <t>92406 - Úvěry</t>
  </si>
  <si>
    <t>opravy a udržování</t>
  </si>
  <si>
    <t xml:space="preserve">Ú V Ě R Y </t>
  </si>
  <si>
    <t>(UZ 17466)</t>
  </si>
  <si>
    <t>níže jsou uvedeny přesné částky akcí na haléře</t>
  </si>
  <si>
    <t>0681220000</t>
  </si>
  <si>
    <t>Oprava mostu 268-019, Mimoň</t>
  </si>
  <si>
    <t>0681230000</t>
  </si>
  <si>
    <t>Oprava mostu 270-006, Boreček</t>
  </si>
  <si>
    <t>0681240000</t>
  </si>
  <si>
    <t>Oprava mostu 0358-1, Předlánce</t>
  </si>
  <si>
    <t>0681250000</t>
  </si>
  <si>
    <t>Oprava mostu 2621-3, Vlčí Důl</t>
  </si>
  <si>
    <t>0681270000</t>
  </si>
  <si>
    <t>Oprava mostu 26219-1, Žandov</t>
  </si>
  <si>
    <t>0681280000</t>
  </si>
  <si>
    <t>Oprava mostu 26834-3, Zákupy</t>
  </si>
  <si>
    <t>0681290000</t>
  </si>
  <si>
    <t>Oprava mostu 26836-8, Svitava</t>
  </si>
  <si>
    <t>0681300000</t>
  </si>
  <si>
    <t>Oprava mostu 26832-3, Brenná</t>
  </si>
  <si>
    <t>SR 2012</t>
  </si>
  <si>
    <t>0681400000</t>
  </si>
  <si>
    <t>Oprava mostu 2914-4, Bulovka</t>
  </si>
  <si>
    <t>(UZ 17789)</t>
  </si>
  <si>
    <t>0681410000</t>
  </si>
  <si>
    <t>Oprava mostu 2914-3, Bulovka</t>
  </si>
  <si>
    <t>0681420000</t>
  </si>
  <si>
    <t>Oprava mostu 2914-2, Bulovka</t>
  </si>
  <si>
    <t>0681430000</t>
  </si>
  <si>
    <t>Oprava mostu přes strouhu, Kunratice</t>
  </si>
  <si>
    <t>0681440000</t>
  </si>
  <si>
    <t>Oprava mostu v Oldřichově na Hranicích</t>
  </si>
  <si>
    <t>0681450000</t>
  </si>
  <si>
    <t>Oprava mostu 29015-3, Ludvíkov</t>
  </si>
  <si>
    <t>0681460000</t>
  </si>
  <si>
    <t>Volfartice oprava opěrné zdi a propustku</t>
  </si>
  <si>
    <t>ROZPIS ROZPOČTU LIBERECKÉHO KRAJE 2012</t>
  </si>
  <si>
    <t>1. Zapojení fondů z r. 2011</t>
  </si>
  <si>
    <t>2. Zapojení zvl.účtů z r. 2011</t>
  </si>
  <si>
    <t>3. Zapojení výsl. hosp.2011</t>
  </si>
  <si>
    <t>0681470000</t>
  </si>
  <si>
    <t>0681480000</t>
  </si>
  <si>
    <t>0681490000</t>
  </si>
  <si>
    <t>0681500000</t>
  </si>
  <si>
    <t>0681510000</t>
  </si>
  <si>
    <t>0681520000</t>
  </si>
  <si>
    <t>0681530000</t>
  </si>
  <si>
    <t>0681540000</t>
  </si>
  <si>
    <t>0681550000</t>
  </si>
  <si>
    <t>0681560000</t>
  </si>
  <si>
    <t>0681570000</t>
  </si>
  <si>
    <t>0681580000</t>
  </si>
  <si>
    <t>0681590000</t>
  </si>
  <si>
    <t>0681600000</t>
  </si>
  <si>
    <t>0681610000</t>
  </si>
  <si>
    <t>0681620000</t>
  </si>
  <si>
    <t>0681630000</t>
  </si>
  <si>
    <t>Oprava mostu přes Rousínovský potok, Rousínov</t>
  </si>
  <si>
    <t>Oprava mostu 592-006, Kryštofovo Údolí</t>
  </si>
  <si>
    <t>Oprava mostu 592-009, Kryštofovo Údolí</t>
  </si>
  <si>
    <t>Oprava mostu 2907-5, Fojtka</t>
  </si>
  <si>
    <t>Oprava mostu 2911-3, Krásný Les</t>
  </si>
  <si>
    <t>Oprava mostu 2913-3, Bulovka</t>
  </si>
  <si>
    <t>Oprava mostu 2915-7, Jindřichovice pod Smrkem</t>
  </si>
  <si>
    <t>Oprava mostu 26219-3, Žandov</t>
  </si>
  <si>
    <t>Oprava mostu 26836-21, Zákupy</t>
  </si>
  <si>
    <t>Oprava mostu 26836-7, Lindava</t>
  </si>
  <si>
    <t>Oprava mostu 26839-3, Kunratice u Cvikova</t>
  </si>
  <si>
    <t>Oprava mostu 26850-1, Chotovice</t>
  </si>
  <si>
    <t>Oprava mostu 27018-3, Kněžice</t>
  </si>
  <si>
    <t>Oprava mostu 27018-4, Kněžice</t>
  </si>
  <si>
    <t>0681260000</t>
  </si>
  <si>
    <t>Oprava mostu 2622-2,Dobranov – Písečná</t>
  </si>
  <si>
    <t>0681390000</t>
  </si>
  <si>
    <t>KOORDINÁTOR REALIZACE MOSTŮ</t>
  </si>
  <si>
    <t>0681210000</t>
  </si>
  <si>
    <t>Oprava mostu přes potok, Břevniště</t>
  </si>
  <si>
    <t>nákup ostatních služeb</t>
  </si>
  <si>
    <t>0681310000</t>
  </si>
  <si>
    <t>Rekonstrukce mostu ev.č. 263-002 Heřmanice</t>
  </si>
  <si>
    <t>0681320000</t>
  </si>
  <si>
    <t>Mistrovice - most ev.č. 2639-4 přes řeku Bystrou</t>
  </si>
  <si>
    <t>0681330000</t>
  </si>
  <si>
    <t>Silnice III/26846 Sloup v Čechách, rekonstr. mostu ev.č. 26846-2</t>
  </si>
  <si>
    <t>0681340000</t>
  </si>
  <si>
    <t>Most Kotelsko ev.č. 2826-2</t>
  </si>
  <si>
    <t>0681350000</t>
  </si>
  <si>
    <t>Rekonstrukce mostu ev.č. 2848-1 Lomnice nad Popelkou</t>
  </si>
  <si>
    <t>0681360000</t>
  </si>
  <si>
    <t>Most ev.č. 29042-1 v Dolní Smržovce</t>
  </si>
  <si>
    <t>0681370000</t>
  </si>
  <si>
    <t>Most ev.č. 2881-2 (Dolánky) u obce Horská Kamenice</t>
  </si>
  <si>
    <t>0681380000</t>
  </si>
  <si>
    <t>Most přes potok v Arnolticích 2914-1</t>
  </si>
  <si>
    <t>Silnice III/2628 Skalice u České Lípy, rekonstrukce mostu event. č. 2628-7</t>
  </si>
  <si>
    <t>0681640000</t>
  </si>
  <si>
    <t>0681650000</t>
  </si>
  <si>
    <t>0681660000</t>
  </si>
  <si>
    <t>0681670000</t>
  </si>
  <si>
    <t>0681680000</t>
  </si>
  <si>
    <t>Rekonstrukce 3 mostů na silnici III/26842</t>
  </si>
  <si>
    <t>Rekonstrukce mostu přes Hamerský potok v Horní Světlé</t>
  </si>
  <si>
    <t>0681690000</t>
  </si>
  <si>
    <t>0681700000</t>
  </si>
  <si>
    <t>0681710000</t>
  </si>
  <si>
    <t>0681720000</t>
  </si>
  <si>
    <t>0681730000</t>
  </si>
  <si>
    <t>0681740000</t>
  </si>
  <si>
    <t>0681750000</t>
  </si>
  <si>
    <t>0681760000</t>
  </si>
  <si>
    <t>Most přes potok ve Sloupu v Čechách ev.č. 26846-1</t>
  </si>
  <si>
    <t>Most ev.č. 2886-1 přes trať ČD u obce Návarov</t>
  </si>
  <si>
    <t>Ohrazenice, rekonstrukce mostu ev.č. 01016-2</t>
  </si>
  <si>
    <t>Rekonstrukce mostu ev.č. 28614-3 Kruh</t>
  </si>
  <si>
    <t>Most ev.č. 282-015 v Železném Brodu</t>
  </si>
  <si>
    <t>Most přes občasnou vodoteč ev.č. 27921-4</t>
  </si>
  <si>
    <t>Most ev.č. 2601-0 přes Heřmánecký potok u Sušice</t>
  </si>
  <si>
    <t>0681770000</t>
  </si>
  <si>
    <t>0681780000</t>
  </si>
  <si>
    <t>0681790000</t>
  </si>
  <si>
    <t>0681800000</t>
  </si>
  <si>
    <t>0681810000</t>
  </si>
  <si>
    <t>Most přes Valteřický potok ve Valteřicích ev.č. 2634-1</t>
  </si>
  <si>
    <t>Rekonstrukce mostu 2931-1 Levínská Olešnice</t>
  </si>
  <si>
    <t>Rekonstrukce III/2931-2 Levínská Olešnice</t>
  </si>
  <si>
    <t>Rekonstrukce mostu ev.č. 0146-2 Dolní Dušnice</t>
  </si>
  <si>
    <t>0681820000</t>
  </si>
  <si>
    <t>0681830000</t>
  </si>
  <si>
    <t>Most ev.č. 26817-1 (Most přes potok v osadě Těšnov)</t>
  </si>
  <si>
    <t>Oprava mostu ev.č. 28711-2 Rychnov ŽMP</t>
  </si>
  <si>
    <t>Most přes Hrádecký potok, ev.č. 292-013</t>
  </si>
  <si>
    <t>Most přes řeku Popelku, ev.č. 284-002</t>
  </si>
  <si>
    <t>0681840000</t>
  </si>
  <si>
    <t>0681850000</t>
  </si>
  <si>
    <t>Most ev.č. 27241-6 přes Dubnický potok v Dubnici</t>
  </si>
  <si>
    <t>2915-6 Most přes potok v Jindřichovicích pod Smrkem</t>
  </si>
  <si>
    <t>0681860000</t>
  </si>
  <si>
    <t>2904-8 Most přes potok Jeřici v Mníšku</t>
  </si>
  <si>
    <t>03510-0 Most přes řeku Smědá ve Frýdlantě</t>
  </si>
  <si>
    <t>03511-2 Most přes potok na konci zastavění města Frýdlant</t>
  </si>
  <si>
    <t>03511-3 Most přes potok ve Frýdlantě</t>
  </si>
  <si>
    <t>0681870000</t>
  </si>
  <si>
    <t>0681880000</t>
  </si>
  <si>
    <t>0681900000</t>
  </si>
  <si>
    <t>0681910000</t>
  </si>
  <si>
    <t>0681890000</t>
  </si>
  <si>
    <t>0681920000</t>
  </si>
  <si>
    <t>0681930000</t>
  </si>
  <si>
    <t>0681940000</t>
  </si>
  <si>
    <t>0681950000</t>
  </si>
  <si>
    <t>0681960000</t>
  </si>
  <si>
    <t>0681970000</t>
  </si>
  <si>
    <t>0681980000</t>
  </si>
  <si>
    <t>Most 286-25 za garážemi</t>
  </si>
  <si>
    <t>Most 286-28 u Braunova Vrchu</t>
  </si>
  <si>
    <t>Most 293-4 Martinice v Krkonoších</t>
  </si>
  <si>
    <t>Most 01020-1 přes říčku Milnici v Harrachově</t>
  </si>
  <si>
    <t>Most 01023-2 přes Kamenici v Harrachově</t>
  </si>
  <si>
    <t>Most 2827-1 přes potok Veselka</t>
  </si>
  <si>
    <t>Most 28614-7 přes potok Tamplekačku</t>
  </si>
  <si>
    <t>Most 292-3 přes Chuchelský potok</t>
  </si>
  <si>
    <t>29110-2 Most přes potok v Dětřichovci</t>
  </si>
  <si>
    <t>0681990000</t>
  </si>
  <si>
    <t>provizorní most 0358-1, Předlánce</t>
  </si>
  <si>
    <t>0682000000</t>
  </si>
  <si>
    <t>Rekonstrukce 3 mostů na silnici III/26839</t>
  </si>
  <si>
    <t>0682010000</t>
  </si>
  <si>
    <t>0682020000</t>
  </si>
  <si>
    <t>Most 282-017 Železný Brod</t>
  </si>
  <si>
    <t>Most Návarov přes Kamenici ev. č. 2886-2</t>
  </si>
  <si>
    <t>0682030000</t>
  </si>
  <si>
    <t>0682040000</t>
  </si>
  <si>
    <t>Most přes řeku Jizeru v Dolních Dušnicích ev.č. 29064-1</t>
  </si>
  <si>
    <t>Most přes Bílou Nisu Mšeno n. Nisou ev.č. 29029-4</t>
  </si>
  <si>
    <t>0682050000</t>
  </si>
  <si>
    <t>KOORDINÁTOR REALIZACE MOSTŮ - II.etapa</t>
  </si>
  <si>
    <t>Kč</t>
  </si>
  <si>
    <t>UR I 2012</t>
  </si>
  <si>
    <t>UR II 2012</t>
  </si>
  <si>
    <t>0682060000</t>
  </si>
  <si>
    <t>Most 286-011 přes potok u stodoly</t>
  </si>
  <si>
    <t xml:space="preserve">   neinv. dotace ze zahraničí</t>
  </si>
  <si>
    <t>415x</t>
  </si>
  <si>
    <t xml:space="preserve">    investiční dotace ze zahraničí</t>
  </si>
  <si>
    <t>0682070000</t>
  </si>
  <si>
    <t>Most 270-14 přes Panenský potok v Jablonném v P.</t>
  </si>
  <si>
    <t>0682080000</t>
  </si>
  <si>
    <t>Rekonstrukce mostů na silnici II/286</t>
  </si>
  <si>
    <t>0682090000</t>
  </si>
  <si>
    <t>Nové Zákupy - Rekonstrukce most ev.č. 26836-20 přes zátopovou oblast Svitávky</t>
  </si>
  <si>
    <t>12.změna-RO č. 303/12</t>
  </si>
  <si>
    <t>Oprava mostu přes řeku Smědou, Frýdlant 290-002</t>
  </si>
  <si>
    <t>Oprava mostu přes Bobravu, Cvikov 26836-3</t>
  </si>
  <si>
    <t>Oprava mostu přes potok, Fojtka 2907-3</t>
  </si>
  <si>
    <t>Oprava mostu přes Svitávku, Nové Zákupy 26836-18</t>
  </si>
  <si>
    <t>Oprava mostu přes zátopní území, Žízníkov 2623-2</t>
  </si>
  <si>
    <t>Příjmy a finanční zdroje odboru dopravy 2012</t>
  </si>
  <si>
    <t>Přijaté transfery (dotace a příspěvky) a zdroje (financování)</t>
  </si>
  <si>
    <t>tis.Kč</t>
  </si>
  <si>
    <t>ORJ</t>
  </si>
  <si>
    <t>ÚZ</t>
  </si>
  <si>
    <t>P Ř Í J M Y   A  T R A N S F E R Y   2 0 1 2</t>
  </si>
  <si>
    <t>příjmy celkem</t>
  </si>
  <si>
    <t>A1) vlastní příjmy - daňové příjmy</t>
  </si>
  <si>
    <t>0006</t>
  </si>
  <si>
    <t>DU</t>
  </si>
  <si>
    <t>správní poplatky</t>
  </si>
  <si>
    <t>A2) vlastní příjmy - nedaňové příjmy</t>
  </si>
  <si>
    <t>věcná břemena</t>
  </si>
  <si>
    <t>ostatní odvody příspěvkových organizací</t>
  </si>
  <si>
    <t>kauce a sankční platby</t>
  </si>
  <si>
    <t>0665000000</t>
  </si>
  <si>
    <t>Přijetí daru od společnosti Silnice LK, a.s.</t>
  </si>
  <si>
    <t>2299</t>
  </si>
  <si>
    <t>přijaté neinvestiční dary</t>
  </si>
  <si>
    <t>přijaté nekapitálové příspěvky a náhrady</t>
  </si>
  <si>
    <t>vratky z autobusové dopravní obslužnosti</t>
  </si>
  <si>
    <t>vratky z drážní dopravní obslužnosti</t>
  </si>
  <si>
    <t>náklady řízení</t>
  </si>
  <si>
    <t>Finanční vypořádání účelových dotací za rok 2011</t>
  </si>
  <si>
    <t>příspěvek na dopravní obslužnost od obchodních společností</t>
  </si>
  <si>
    <t>ostatní nedaňové příjmy</t>
  </si>
  <si>
    <t>2306</t>
  </si>
  <si>
    <t>0650140000</t>
  </si>
  <si>
    <t>Cíl 3 - II/294 Rezek</t>
  </si>
  <si>
    <t>A3) vlastní příjmy - kapitálové příjmy</t>
  </si>
  <si>
    <t>41xx</t>
  </si>
  <si>
    <t>B1) Dotace a příspěvky - neinvestiční</t>
  </si>
  <si>
    <t>Povodně - Obnova majetku po povodních - NEINV transfer MMR</t>
  </si>
  <si>
    <t>17466</t>
  </si>
  <si>
    <t>ostatní neinvestiční přijaté transfery ze státního rozpočtu</t>
  </si>
  <si>
    <t>Příspěvek na ztrátu dopravce z provozu veřejné osobní drážní dopravy</t>
  </si>
  <si>
    <t>27355</t>
  </si>
  <si>
    <t>akce z roku 2011</t>
  </si>
  <si>
    <t>49595021</t>
  </si>
  <si>
    <t>neinvestiční převody z Národního fondu</t>
  </si>
  <si>
    <t>0650560000</t>
  </si>
  <si>
    <t>Cíl 3 - Učme se přežít II</t>
  </si>
  <si>
    <t>41595113</t>
  </si>
  <si>
    <t>neinvestiční transfery přijaté od obcí</t>
  </si>
  <si>
    <t>0650460000</t>
  </si>
  <si>
    <t>ROP - II/268 x II/270 Mimoň - OK Kozinovo nám.</t>
  </si>
  <si>
    <t>38585505</t>
  </si>
  <si>
    <t>neinvestiční přijaté transfery od regionálních rad</t>
  </si>
  <si>
    <t>0650490000</t>
  </si>
  <si>
    <t>ROP - II/268 x II/270 Mimoň - OK nám. ČSLA</t>
  </si>
  <si>
    <t>0650370000</t>
  </si>
  <si>
    <t xml:space="preserve">Cíl 3 - NISA GO </t>
  </si>
  <si>
    <t>41500000</t>
  </si>
  <si>
    <t>neinvestiční přijaté transfery od mezinárodních institucí</t>
  </si>
  <si>
    <t>0650500000</t>
  </si>
  <si>
    <t>Cíl 3 - Mezinárodní press-trip ODRA-NISA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</si>
  <si>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</si>
  <si>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</si>
  <si>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</si>
  <si>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</si>
  <si>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</si>
  <si>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49595521</t>
  </si>
  <si>
    <t>investiční převody z Národního fondu</t>
  </si>
  <si>
    <t>0650455064</t>
  </si>
  <si>
    <t>ROP - III/2921, 2922 vč. 2 mostů, Pelechov - Záhoří - Semily</t>
  </si>
  <si>
    <t xml:space="preserve">investiční dotace od obcí </t>
  </si>
  <si>
    <t>investiční přijaté transfery od regionálních rad</t>
  </si>
  <si>
    <t>0650361601</t>
  </si>
  <si>
    <t>Cíl 3 - III/27014 Krompach - Jonsdorf, I.etapa</t>
  </si>
  <si>
    <t>investiční přijaté transfery od mezinárodních institucí</t>
  </si>
  <si>
    <t>Oprava mostu přes řeku Smědou, Frýdlant 290-002 (UZ 17789)</t>
  </si>
  <si>
    <t>Oprava mostu přes Bobravu, Cvikov 26836-3 (UZ 17789)</t>
  </si>
  <si>
    <t>Oprava mostu přes potok, Fojtka 2907-3 (UZ 17789)</t>
  </si>
  <si>
    <t>Oprava mostu 592-009, Kryštofovo Údolí (UZ 17789)</t>
  </si>
  <si>
    <t>Oprava mostu 2907-5, Fojtka (UZ 17789)</t>
  </si>
  <si>
    <t>Oprava mostu 2911-3, Krásný Les (UZ 17789)</t>
  </si>
  <si>
    <t>Oprava mostu 2913-3, Bulovka (UZ 17789)</t>
  </si>
  <si>
    <t>Oprava mostu 2915-7, Jindřichovice pod Smrkem (UZ 17789)</t>
  </si>
  <si>
    <t>Oprava mostu 26219-3, Žandov (UZ 17789)</t>
  </si>
  <si>
    <t>Oprava mostu 26836-21, Zákupy (UZ 17789)</t>
  </si>
  <si>
    <t>Oprava mostu 26836-7, Lindava (UZ 17789)</t>
  </si>
  <si>
    <t>Oprava mostu 26839-3, Kunratice u Cvikova (UZ 17789)</t>
  </si>
  <si>
    <t>Oprava mostu 27018-4, Kněžice (UZ 17789)</t>
  </si>
  <si>
    <t>03510-0 Most přes řeku Smědá ve Frýdlantě (UZ 17466)</t>
  </si>
  <si>
    <t>25.změna-RO č. 306/12</t>
  </si>
  <si>
    <t>0682100000</t>
  </si>
  <si>
    <t>0682110000</t>
  </si>
  <si>
    <t>Most přes Ploučnici v Novinách pod Ralskem - ev.č. 26831-1</t>
  </si>
  <si>
    <t>Most v Jablonném v Podještědí - ev.č. 270-16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</si>
</sst>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"/>
    <numFmt numFmtId="170" formatCode="000000####"/>
    <numFmt numFmtId="171" formatCode="00000000"/>
    <numFmt numFmtId="172" formatCode="0#########"/>
    <numFmt numFmtId="173" formatCode="#,##0.0000"/>
    <numFmt numFmtId="174" formatCode="#,##0.00000"/>
    <numFmt numFmtId="175" formatCode="#,##0.000000"/>
    <numFmt numFmtId="176" formatCode="0.000"/>
    <numFmt numFmtId="177" formatCode="0.0000"/>
    <numFmt numFmtId="178" formatCode="0.00000"/>
    <numFmt numFmtId="179" formatCode="0.000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1" fillId="0" borderId="17" xfId="0" applyNumberFormat="1" applyFont="1" applyFill="1" applyBorder="1" applyAlignment="1">
      <alignment horizontal="right" vertical="center" wrapText="1"/>
    </xf>
    <xf numFmtId="0" fontId="2" fillId="0" borderId="32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20" xfId="51" applyFont="1" applyBorder="1" applyAlignment="1">
      <alignment horizontal="center" vertical="center"/>
      <protection/>
    </xf>
    <xf numFmtId="4" fontId="2" fillId="0" borderId="11" xfId="51" applyNumberFormat="1" applyFont="1" applyFill="1" applyBorder="1" applyAlignment="1">
      <alignment vertical="center"/>
      <protection/>
    </xf>
    <xf numFmtId="4" fontId="2" fillId="0" borderId="22" xfId="51" applyNumberFormat="1" applyFont="1" applyFill="1" applyBorder="1" applyAlignment="1">
      <alignment vertical="center"/>
      <protection/>
    </xf>
    <xf numFmtId="4" fontId="2" fillId="0" borderId="33" xfId="51" applyNumberFormat="1" applyFont="1" applyFill="1" applyBorder="1" applyAlignment="1">
      <alignment vertical="center"/>
      <protection/>
    </xf>
    <xf numFmtId="1" fontId="2" fillId="0" borderId="34" xfId="51" applyNumberFormat="1" applyFont="1" applyBorder="1" applyAlignment="1">
      <alignment horizontal="center" vertical="center" wrapText="1"/>
      <protection/>
    </xf>
    <xf numFmtId="2" fontId="2" fillId="0" borderId="14" xfId="51" applyNumberFormat="1" applyFont="1" applyBorder="1" applyAlignment="1">
      <alignment horizontal="left" vertical="center"/>
      <protection/>
    </xf>
    <xf numFmtId="4" fontId="2" fillId="0" borderId="35" xfId="51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15" fillId="0" borderId="30" xfId="51" applyFont="1" applyFill="1" applyBorder="1" applyAlignment="1">
      <alignment horizontal="center" vertical="center"/>
      <protection/>
    </xf>
    <xf numFmtId="49" fontId="2" fillId="0" borderId="34" xfId="50" applyNumberFormat="1" applyFont="1" applyFill="1" applyBorder="1" applyAlignment="1">
      <alignment horizontal="center" vertical="center"/>
      <protection/>
    </xf>
    <xf numFmtId="1" fontId="2" fillId="0" borderId="11" xfId="51" applyNumberFormat="1" applyFont="1" applyFill="1" applyBorder="1" applyAlignment="1">
      <alignment horizontal="center" vertical="center"/>
      <protection/>
    </xf>
    <xf numFmtId="2" fontId="2" fillId="0" borderId="14" xfId="51" applyNumberFormat="1" applyFont="1" applyBorder="1" applyAlignment="1">
      <alignment horizontal="left" vertical="center" wrapText="1"/>
      <protection/>
    </xf>
    <xf numFmtId="2" fontId="2" fillId="0" borderId="36" xfId="51" applyNumberFormat="1" applyFont="1" applyBorder="1" applyAlignment="1">
      <alignment horizontal="center" vertical="center" wrapText="1"/>
      <protection/>
    </xf>
    <xf numFmtId="2" fontId="2" fillId="0" borderId="36" xfId="51" applyNumberFormat="1" applyFont="1" applyBorder="1" applyAlignment="1">
      <alignment horizontal="center" vertical="center"/>
      <protection/>
    </xf>
    <xf numFmtId="0" fontId="15" fillId="0" borderId="37" xfId="51" applyFont="1" applyFill="1" applyBorder="1" applyAlignment="1">
      <alignment horizontal="center" vertical="center"/>
      <protection/>
    </xf>
    <xf numFmtId="0" fontId="16" fillId="0" borderId="0" xfId="51" applyFont="1" applyBorder="1" applyAlignment="1">
      <alignment vertical="center"/>
      <protection/>
    </xf>
    <xf numFmtId="0" fontId="17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4" fontId="0" fillId="0" borderId="0" xfId="0" applyNumberFormat="1" applyAlignment="1">
      <alignment vertical="center"/>
    </xf>
    <xf numFmtId="0" fontId="18" fillId="0" borderId="0" xfId="48" applyFont="1" applyBorder="1" applyAlignment="1">
      <alignment vertical="center"/>
      <protection/>
    </xf>
    <xf numFmtId="49" fontId="2" fillId="0" borderId="25" xfId="50" applyNumberFormat="1" applyFont="1" applyFill="1" applyBorder="1" applyAlignment="1">
      <alignment horizontal="center" vertical="center"/>
      <protection/>
    </xf>
    <xf numFmtId="4" fontId="2" fillId="0" borderId="24" xfId="51" applyNumberFormat="1" applyFont="1" applyFill="1" applyBorder="1" applyAlignment="1">
      <alignment vertical="center"/>
      <protection/>
    </xf>
    <xf numFmtId="0" fontId="0" fillId="0" borderId="38" xfId="0" applyBorder="1" applyAlignment="1">
      <alignment vertical="center"/>
    </xf>
    <xf numFmtId="0" fontId="15" fillId="0" borderId="39" xfId="51" applyFont="1" applyFill="1" applyBorder="1" applyAlignment="1">
      <alignment horizontal="center" vertical="center"/>
      <protection/>
    </xf>
    <xf numFmtId="0" fontId="14" fillId="0" borderId="31" xfId="48" applyFont="1" applyFill="1" applyBorder="1" applyAlignment="1">
      <alignment vertical="center" wrapText="1"/>
      <protection/>
    </xf>
    <xf numFmtId="0" fontId="14" fillId="0" borderId="40" xfId="48" applyFont="1" applyFill="1" applyBorder="1" applyAlignment="1">
      <alignment vertical="center" wrapText="1"/>
      <protection/>
    </xf>
    <xf numFmtId="4" fontId="10" fillId="0" borderId="41" xfId="0" applyNumberFormat="1" applyFont="1" applyBorder="1" applyAlignment="1">
      <alignment horizontal="right" vertical="center" wrapText="1"/>
    </xf>
    <xf numFmtId="4" fontId="11" fillId="0" borderId="42" xfId="0" applyNumberFormat="1" applyFont="1" applyBorder="1" applyAlignment="1">
      <alignment horizontal="right" vertical="center" wrapText="1"/>
    </xf>
    <xf numFmtId="2" fontId="2" fillId="0" borderId="14" xfId="51" applyNumberFormat="1" applyFont="1" applyFill="1" applyBorder="1" applyAlignment="1">
      <alignment horizontal="left" vertical="center" wrapText="1"/>
      <protection/>
    </xf>
    <xf numFmtId="0" fontId="14" fillId="0" borderId="43" xfId="48" applyFont="1" applyFill="1" applyBorder="1" applyAlignment="1">
      <alignment vertical="center" wrapText="1"/>
      <protection/>
    </xf>
    <xf numFmtId="1" fontId="19" fillId="0" borderId="39" xfId="51" applyNumberFormat="1" applyFont="1" applyFill="1" applyBorder="1" applyAlignment="1">
      <alignment horizontal="center" vertical="center"/>
      <protection/>
    </xf>
    <xf numFmtId="1" fontId="2" fillId="0" borderId="25" xfId="51" applyNumberFormat="1" applyFont="1" applyBorder="1" applyAlignment="1">
      <alignment horizontal="center" vertical="center" wrapText="1"/>
      <protection/>
    </xf>
    <xf numFmtId="2" fontId="2" fillId="0" borderId="26" xfId="51" applyNumberFormat="1" applyFont="1" applyBorder="1" applyAlignment="1">
      <alignment horizontal="left" vertical="center" wrapText="1"/>
      <protection/>
    </xf>
    <xf numFmtId="2" fontId="2" fillId="0" borderId="44" xfId="51" applyNumberFormat="1" applyFont="1" applyBorder="1" applyAlignment="1">
      <alignment horizontal="center" vertical="center"/>
      <protection/>
    </xf>
    <xf numFmtId="4" fontId="2" fillId="0" borderId="13" xfId="51" applyNumberFormat="1" applyFont="1" applyFill="1" applyBorder="1" applyAlignment="1">
      <alignment vertical="center"/>
      <protection/>
    </xf>
    <xf numFmtId="49" fontId="2" fillId="0" borderId="30" xfId="50" applyNumberFormat="1" applyFont="1" applyFill="1" applyBorder="1" applyAlignment="1">
      <alignment horizontal="center" vertical="center"/>
      <protection/>
    </xf>
    <xf numFmtId="1" fontId="2" fillId="0" borderId="30" xfId="51" applyNumberFormat="1" applyFont="1" applyBorder="1" applyAlignment="1">
      <alignment horizontal="center" vertical="center" wrapText="1"/>
      <protection/>
    </xf>
    <xf numFmtId="2" fontId="2" fillId="0" borderId="45" xfId="51" applyNumberFormat="1" applyFont="1" applyBorder="1" applyAlignment="1">
      <alignment horizontal="center" vertical="center" wrapText="1"/>
      <protection/>
    </xf>
    <xf numFmtId="49" fontId="2" fillId="0" borderId="17" xfId="50" applyNumberFormat="1" applyFont="1" applyFill="1" applyBorder="1" applyAlignment="1">
      <alignment horizontal="center" vertical="center"/>
      <protection/>
    </xf>
    <xf numFmtId="1" fontId="2" fillId="0" borderId="17" xfId="51" applyNumberFormat="1" applyFont="1" applyBorder="1" applyAlignment="1">
      <alignment horizontal="center" vertical="center" wrapText="1"/>
      <protection/>
    </xf>
    <xf numFmtId="1" fontId="19" fillId="0" borderId="29" xfId="51" applyNumberFormat="1" applyFont="1" applyFill="1" applyBorder="1" applyAlignment="1">
      <alignment horizontal="center" vertical="center"/>
      <protection/>
    </xf>
    <xf numFmtId="0" fontId="14" fillId="0" borderId="18" xfId="48" applyFont="1" applyFill="1" applyBorder="1" applyAlignment="1">
      <alignment vertical="center" wrapText="1"/>
      <protection/>
    </xf>
    <xf numFmtId="0" fontId="2" fillId="0" borderId="46" xfId="51" applyFont="1" applyBorder="1" applyAlignment="1">
      <alignment horizontal="center"/>
      <protection/>
    </xf>
    <xf numFmtId="0" fontId="2" fillId="0" borderId="11" xfId="51" applyFont="1" applyBorder="1" applyAlignment="1">
      <alignment horizontal="center"/>
      <protection/>
    </xf>
    <xf numFmtId="1" fontId="19" fillId="0" borderId="0" xfId="51" applyNumberFormat="1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1" fontId="2" fillId="0" borderId="34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" fontId="2" fillId="0" borderId="14" xfId="51" applyNumberFormat="1" applyFont="1" applyFill="1" applyBorder="1" applyAlignment="1">
      <alignment horizontal="left" vertical="center"/>
      <protection/>
    </xf>
    <xf numFmtId="2" fontId="2" fillId="0" borderId="47" xfId="51" applyNumberFormat="1" applyFont="1" applyBorder="1" applyAlignment="1">
      <alignment horizontal="center" vertical="center"/>
      <protection/>
    </xf>
    <xf numFmtId="2" fontId="2" fillId="0" borderId="47" xfId="51" applyNumberFormat="1" applyFont="1" applyBorder="1" applyAlignment="1">
      <alignment horizontal="center" vertical="center" wrapText="1"/>
      <protection/>
    </xf>
    <xf numFmtId="2" fontId="2" fillId="0" borderId="36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 vertical="center"/>
    </xf>
    <xf numFmtId="169" fontId="0" fillId="0" borderId="0" xfId="0" applyNumberFormat="1" applyAlignment="1">
      <alignment vertical="center"/>
    </xf>
    <xf numFmtId="179" fontId="0" fillId="0" borderId="0" xfId="0" applyNumberFormat="1" applyFill="1" applyAlignment="1">
      <alignment vertical="center"/>
    </xf>
    <xf numFmtId="4" fontId="1" fillId="0" borderId="27" xfId="51" applyNumberFormat="1" applyFont="1" applyFill="1" applyBorder="1" applyAlignment="1">
      <alignment vertical="center"/>
      <protection/>
    </xf>
    <xf numFmtId="4" fontId="1" fillId="0" borderId="48" xfId="51" applyNumberFormat="1" applyFont="1" applyFill="1" applyBorder="1" applyAlignment="1">
      <alignment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169" fontId="11" fillId="0" borderId="25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 vertical="center"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vertical="center"/>
      <protection/>
    </xf>
    <xf numFmtId="4" fontId="1" fillId="0" borderId="28" xfId="51" applyNumberFormat="1" applyFont="1" applyFill="1" applyBorder="1" applyAlignment="1">
      <alignment vertical="center"/>
      <protection/>
    </xf>
    <xf numFmtId="4" fontId="1" fillId="0" borderId="50" xfId="51" applyNumberFormat="1" applyFont="1" applyFill="1" applyBorder="1" applyAlignment="1">
      <alignment vertical="center"/>
      <protection/>
    </xf>
    <xf numFmtId="1" fontId="1" fillId="0" borderId="39" xfId="51" applyNumberFormat="1" applyFont="1" applyBorder="1" applyAlignment="1">
      <alignment horizontal="center"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49" fontId="1" fillId="17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1" fontId="1" fillId="0" borderId="39" xfId="51" applyNumberFormat="1" applyFont="1" applyFill="1" applyBorder="1" applyAlignment="1">
      <alignment horizontal="center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2" fontId="1" fillId="0" borderId="53" xfId="51" applyNumberFormat="1" applyFont="1" applyBorder="1" applyAlignment="1">
      <alignment horizontal="center" vertical="center"/>
      <protection/>
    </xf>
    <xf numFmtId="0" fontId="1" fillId="0" borderId="54" xfId="51" applyFont="1" applyBorder="1" applyAlignment="1">
      <alignment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42" xfId="51" applyFont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0" fontId="1" fillId="0" borderId="18" xfId="51" applyFont="1" applyFill="1" applyBorder="1" applyAlignment="1">
      <alignment vertical="center"/>
      <protection/>
    </xf>
    <xf numFmtId="2" fontId="1" fillId="0" borderId="44" xfId="51" applyNumberFormat="1" applyFont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vertical="center"/>
      <protection/>
    </xf>
    <xf numFmtId="2" fontId="1" fillId="0" borderId="45" xfId="51" applyNumberFormat="1" applyFont="1" applyBorder="1" applyAlignment="1">
      <alignment horizontal="center" vertical="center"/>
      <protection/>
    </xf>
    <xf numFmtId="0" fontId="1" fillId="0" borderId="25" xfId="51" applyFont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55" xfId="51" applyFont="1" applyFill="1" applyBorder="1" applyAlignment="1">
      <alignment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55" xfId="51" applyFont="1" applyBorder="1" applyAlignment="1">
      <alignment vertical="center"/>
      <protection/>
    </xf>
    <xf numFmtId="2" fontId="1" fillId="0" borderId="56" xfId="51" applyNumberFormat="1" applyFont="1" applyBorder="1" applyAlignment="1">
      <alignment horizontal="center" vertical="center"/>
      <protection/>
    </xf>
    <xf numFmtId="1" fontId="1" fillId="0" borderId="29" xfId="51" applyNumberFormat="1" applyFont="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2" fontId="1" fillId="0" borderId="53" xfId="51" applyNumberFormat="1" applyFont="1" applyFill="1" applyBorder="1" applyAlignment="1">
      <alignment horizontal="center" vertical="center"/>
      <protection/>
    </xf>
    <xf numFmtId="2" fontId="1" fillId="0" borderId="0" xfId="51" applyNumberFormat="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2" fontId="2" fillId="0" borderId="44" xfId="51" applyNumberFormat="1" applyFont="1" applyBorder="1" applyAlignment="1">
      <alignment horizontal="center" vertical="center" wrapText="1"/>
      <protection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174" fontId="11" fillId="0" borderId="25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169" fontId="11" fillId="0" borderId="17" xfId="0" applyNumberFormat="1" applyFont="1" applyFill="1" applyBorder="1" applyAlignment="1">
      <alignment horizontal="right" vertical="center" wrapText="1"/>
    </xf>
    <xf numFmtId="0" fontId="14" fillId="0" borderId="26" xfId="48" applyFont="1" applyFill="1" applyBorder="1" applyAlignment="1">
      <alignment vertical="center" wrapText="1"/>
      <protection/>
    </xf>
    <xf numFmtId="4" fontId="1" fillId="0" borderId="24" xfId="5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29" xfId="50" applyNumberFormat="1" applyFont="1" applyFill="1" applyBorder="1" applyAlignment="1">
      <alignment horizontal="center" vertical="center"/>
      <protection/>
    </xf>
    <xf numFmtId="1" fontId="2" fillId="0" borderId="29" xfId="51" applyNumberFormat="1" applyFont="1" applyBorder="1" applyAlignment="1">
      <alignment horizontal="center" vertical="center" wrapText="1"/>
      <protection/>
    </xf>
    <xf numFmtId="4" fontId="11" fillId="0" borderId="39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11" fillId="0" borderId="25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0" fontId="12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0" fontId="2" fillId="0" borderId="58" xfId="51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49" fontId="2" fillId="0" borderId="22" xfId="51" applyNumberFormat="1" applyFont="1" applyFill="1" applyBorder="1" applyAlignment="1">
      <alignment horizontal="center" vertical="center"/>
      <protection/>
    </xf>
    <xf numFmtId="0" fontId="2" fillId="0" borderId="32" xfId="51" applyFont="1" applyFill="1" applyBorder="1" applyAlignment="1">
      <alignment horizontal="center" vertical="center"/>
      <protection/>
    </xf>
    <xf numFmtId="49" fontId="2" fillId="0" borderId="23" xfId="51" applyNumberFormat="1" applyFont="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horizontal="center" vertical="center"/>
      <protection/>
    </xf>
    <xf numFmtId="49" fontId="2" fillId="0" borderId="20" xfId="51" applyNumberFormat="1" applyFont="1" applyFill="1" applyBorder="1" applyAlignment="1">
      <alignment horizontal="center" vertical="center"/>
      <protection/>
    </xf>
    <xf numFmtId="0" fontId="2" fillId="0" borderId="21" xfId="51" applyFont="1" applyFill="1" applyBorder="1" applyAlignment="1">
      <alignment horizontal="center" vertical="center"/>
      <protection/>
    </xf>
    <xf numFmtId="4" fontId="2" fillId="0" borderId="59" xfId="51" applyNumberFormat="1" applyFont="1" applyFill="1" applyBorder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49" fontId="2" fillId="24" borderId="22" xfId="51" applyNumberFormat="1" applyFont="1" applyFill="1" applyBorder="1" applyAlignment="1">
      <alignment horizontal="center" vertical="center"/>
      <protection/>
    </xf>
    <xf numFmtId="0" fontId="2" fillId="24" borderId="32" xfId="51" applyFont="1" applyFill="1" applyBorder="1" applyAlignment="1">
      <alignment horizontal="center" vertical="center"/>
      <protection/>
    </xf>
    <xf numFmtId="49" fontId="2" fillId="24" borderId="23" xfId="51" applyNumberFormat="1" applyFont="1" applyFill="1" applyBorder="1" applyAlignment="1">
      <alignment horizontal="center" vertical="center"/>
      <protection/>
    </xf>
    <xf numFmtId="0" fontId="2" fillId="24" borderId="23" xfId="51" applyFont="1" applyFill="1" applyBorder="1" applyAlignment="1">
      <alignment horizontal="center" vertical="center"/>
      <protection/>
    </xf>
    <xf numFmtId="49" fontId="2" fillId="24" borderId="20" xfId="51" applyNumberFormat="1" applyFont="1" applyFill="1" applyBorder="1" applyAlignment="1">
      <alignment horizontal="center" vertical="center"/>
      <protection/>
    </xf>
    <xf numFmtId="0" fontId="2" fillId="24" borderId="21" xfId="51" applyFont="1" applyFill="1" applyBorder="1" applyAlignment="1">
      <alignment horizontal="left" vertical="center"/>
      <protection/>
    </xf>
    <xf numFmtId="4" fontId="2" fillId="24" borderId="59" xfId="51" applyNumberFormat="1" applyFont="1" applyFill="1" applyBorder="1" applyAlignment="1">
      <alignment vertical="center"/>
      <protection/>
    </xf>
    <xf numFmtId="4" fontId="2" fillId="24" borderId="10" xfId="51" applyNumberFormat="1" applyFont="1" applyFill="1" applyBorder="1" applyAlignment="1">
      <alignment vertical="center"/>
      <protection/>
    </xf>
    <xf numFmtId="4" fontId="2" fillId="24" borderId="11" xfId="51" applyNumberFormat="1" applyFont="1" applyFill="1" applyBorder="1" applyAlignment="1">
      <alignment vertical="center"/>
      <protection/>
    </xf>
    <xf numFmtId="49" fontId="1" fillId="0" borderId="60" xfId="51" applyNumberFormat="1" applyFont="1" applyFill="1" applyBorder="1" applyAlignment="1">
      <alignment horizontal="center" vertical="center"/>
      <protection/>
    </xf>
    <xf numFmtId="0" fontId="1" fillId="0" borderId="23" xfId="49" applyFont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61" xfId="49" applyFont="1" applyBorder="1" applyAlignment="1">
      <alignment horizontal="center" vertical="center"/>
      <protection/>
    </xf>
    <xf numFmtId="0" fontId="0" fillId="0" borderId="23" xfId="51" applyFont="1" applyFill="1" applyBorder="1" applyAlignment="1">
      <alignment vertical="center"/>
      <protection/>
    </xf>
    <xf numFmtId="0" fontId="1" fillId="0" borderId="21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62" xfId="49" applyNumberFormat="1" applyFont="1" applyBorder="1" applyAlignment="1">
      <alignment vertical="center"/>
      <protection/>
    </xf>
    <xf numFmtId="4" fontId="2" fillId="0" borderId="60" xfId="51" applyNumberFormat="1" applyFont="1" applyFill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" fontId="2" fillId="24" borderId="64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1" fillId="0" borderId="65" xfId="51" applyFont="1" applyFill="1" applyBorder="1" applyAlignment="1">
      <alignment horizontal="center" vertical="center"/>
      <protection/>
    </xf>
    <xf numFmtId="0" fontId="1" fillId="0" borderId="65" xfId="51" applyFont="1" applyBorder="1" applyAlignment="1">
      <alignment vertical="center"/>
      <protection/>
    </xf>
    <xf numFmtId="0" fontId="1" fillId="0" borderId="65" xfId="49" applyFont="1" applyBorder="1" applyAlignment="1">
      <alignment horizontal="center" vertical="center"/>
      <protection/>
    </xf>
    <xf numFmtId="0" fontId="0" fillId="0" borderId="65" xfId="51" applyFont="1" applyFill="1" applyBorder="1" applyAlignment="1">
      <alignment vertical="center"/>
      <protection/>
    </xf>
    <xf numFmtId="0" fontId="1" fillId="0" borderId="65" xfId="49" applyFont="1" applyBorder="1" applyAlignment="1">
      <alignment vertical="center"/>
      <protection/>
    </xf>
    <xf numFmtId="4" fontId="1" fillId="0" borderId="35" xfId="49" applyNumberFormat="1" applyFont="1" applyBorder="1" applyAlignment="1">
      <alignment vertical="center"/>
      <protection/>
    </xf>
    <xf numFmtId="4" fontId="2" fillId="0" borderId="66" xfId="51" applyNumberFormat="1" applyFont="1" applyFill="1" applyBorder="1" applyAlignment="1">
      <alignment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170" fontId="1" fillId="0" borderId="42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0" fontId="0" fillId="0" borderId="42" xfId="51" applyFont="1" applyFill="1" applyBorder="1" applyAlignment="1">
      <alignment vertical="center"/>
      <protection/>
    </xf>
    <xf numFmtId="0" fontId="1" fillId="0" borderId="16" xfId="51" applyFont="1" applyFill="1" applyBorder="1" applyAlignment="1">
      <alignment vertical="center"/>
      <protection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67" xfId="51" applyNumberFormat="1" applyFont="1" applyFill="1" applyBorder="1" applyAlignment="1">
      <alignment vertical="center"/>
      <protection/>
    </xf>
    <xf numFmtId="49" fontId="1" fillId="0" borderId="62" xfId="51" applyNumberFormat="1" applyFont="1" applyFill="1" applyBorder="1" applyAlignment="1">
      <alignment horizontal="center" vertical="center"/>
      <protection/>
    </xf>
    <xf numFmtId="0" fontId="1" fillId="0" borderId="37" xfId="49" applyFont="1" applyFill="1" applyBorder="1" applyAlignment="1">
      <alignment horizontal="center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0" fontId="1" fillId="0" borderId="37" xfId="51" applyFont="1" applyBorder="1" applyAlignment="1">
      <alignment vertical="center"/>
      <protection/>
    </xf>
    <xf numFmtId="0" fontId="1" fillId="0" borderId="55" xfId="49" applyFont="1" applyBorder="1" applyAlignment="1">
      <alignment horizontal="center" vertical="center"/>
      <protection/>
    </xf>
    <xf numFmtId="0" fontId="0" fillId="0" borderId="55" xfId="51" applyFont="1" applyFill="1" applyBorder="1" applyAlignment="1">
      <alignment vertical="center"/>
      <protection/>
    </xf>
    <xf numFmtId="0" fontId="1" fillId="0" borderId="55" xfId="49" applyFont="1" applyBorder="1" applyAlignment="1">
      <alignment vertical="center"/>
      <protection/>
    </xf>
    <xf numFmtId="4" fontId="1" fillId="0" borderId="50" xfId="49" applyNumberFormat="1" applyFont="1" applyBorder="1" applyAlignment="1">
      <alignment vertical="center"/>
      <protection/>
    </xf>
    <xf numFmtId="4" fontId="2" fillId="0" borderId="0" xfId="51" applyNumberFormat="1" applyFont="1" applyFill="1" applyBorder="1" applyAlignment="1">
      <alignment vertical="center"/>
      <protection/>
    </xf>
    <xf numFmtId="4" fontId="1" fillId="0" borderId="68" xfId="51" applyNumberFormat="1" applyFont="1" applyFill="1" applyBorder="1" applyAlignment="1">
      <alignment vertical="center"/>
      <protection/>
    </xf>
    <xf numFmtId="49" fontId="37" fillId="0" borderId="69" xfId="51" applyNumberFormat="1" applyFont="1" applyFill="1" applyBorder="1" applyAlignment="1">
      <alignment horizontal="center" vertical="center"/>
      <protection/>
    </xf>
    <xf numFmtId="49" fontId="37" fillId="0" borderId="34" xfId="49" applyNumberFormat="1" applyFont="1" applyFill="1" applyBorder="1" applyAlignment="1">
      <alignment horizontal="center" vertical="center" wrapText="1"/>
      <protection/>
    </xf>
    <xf numFmtId="49" fontId="37" fillId="0" borderId="36" xfId="49" applyNumberFormat="1" applyFont="1" applyFill="1" applyBorder="1" applyAlignment="1">
      <alignment horizontal="center" vertical="center" wrapText="1"/>
      <protection/>
    </xf>
    <xf numFmtId="0" fontId="37" fillId="0" borderId="34" xfId="52" applyFont="1" applyFill="1" applyBorder="1" applyAlignment="1">
      <alignment horizontal="center" vertical="center" wrapText="1"/>
      <protection/>
    </xf>
    <xf numFmtId="0" fontId="37" fillId="0" borderId="65" xfId="49" applyFont="1" applyFill="1" applyBorder="1" applyAlignment="1">
      <alignment vertical="center" wrapText="1"/>
      <protection/>
    </xf>
    <xf numFmtId="4" fontId="37" fillId="0" borderId="35" xfId="49" applyNumberFormat="1" applyFont="1" applyFill="1" applyBorder="1" applyAlignment="1">
      <alignment vertical="center" wrapText="1"/>
      <protection/>
    </xf>
    <xf numFmtId="0" fontId="37" fillId="0" borderId="51" xfId="49" applyFont="1" applyFill="1" applyBorder="1" applyAlignment="1">
      <alignment horizontal="center" vertical="center" wrapText="1"/>
      <protection/>
    </xf>
    <xf numFmtId="49" fontId="37" fillId="0" borderId="39" xfId="49" applyNumberFormat="1" applyFont="1" applyFill="1" applyBorder="1" applyAlignment="1">
      <alignment horizontal="center" vertical="center" wrapText="1"/>
      <protection/>
    </xf>
    <xf numFmtId="49" fontId="37" fillId="0" borderId="53" xfId="49" applyNumberFormat="1" applyFont="1" applyFill="1" applyBorder="1" applyAlignment="1">
      <alignment horizontal="center" vertical="center" wrapText="1"/>
      <protection/>
    </xf>
    <xf numFmtId="49" fontId="1" fillId="0" borderId="39" xfId="49" applyNumberFormat="1" applyFont="1" applyFill="1" applyBorder="1" applyAlignment="1">
      <alignment horizontal="center" vertical="center" wrapText="1"/>
      <protection/>
    </xf>
    <xf numFmtId="0" fontId="1" fillId="0" borderId="39" xfId="49" applyFont="1" applyFill="1" applyBorder="1" applyAlignment="1">
      <alignment horizontal="center" vertical="center" wrapText="1"/>
      <protection/>
    </xf>
    <xf numFmtId="0" fontId="1" fillId="0" borderId="54" xfId="49" applyFont="1" applyFill="1" applyBorder="1" applyAlignment="1">
      <alignment horizontal="left" vertical="center" wrapText="1"/>
      <protection/>
    </xf>
    <xf numFmtId="4" fontId="1" fillId="0" borderId="52" xfId="49" applyNumberFormat="1" applyFont="1" applyFill="1" applyBorder="1" applyAlignment="1">
      <alignment vertical="center" wrapText="1"/>
      <protection/>
    </xf>
    <xf numFmtId="4" fontId="1" fillId="0" borderId="70" xfId="49" applyNumberFormat="1" applyFont="1" applyFill="1" applyBorder="1" applyAlignment="1">
      <alignment vertical="center" wrapText="1"/>
      <protection/>
    </xf>
    <xf numFmtId="49" fontId="37" fillId="0" borderId="33" xfId="51" applyNumberFormat="1" applyFont="1" applyFill="1" applyBorder="1" applyAlignment="1">
      <alignment horizontal="center" vertical="center"/>
      <protection/>
    </xf>
    <xf numFmtId="0" fontId="37" fillId="0" borderId="34" xfId="49" applyFont="1" applyFill="1" applyBorder="1" applyAlignment="1">
      <alignment horizontal="center" vertical="center"/>
      <protection/>
    </xf>
    <xf numFmtId="0" fontId="37" fillId="0" borderId="34" xfId="51" applyFont="1" applyFill="1" applyBorder="1" applyAlignment="1">
      <alignment horizontal="center" vertical="center"/>
      <protection/>
    </xf>
    <xf numFmtId="0" fontId="37" fillId="0" borderId="34" xfId="49" applyFont="1" applyBorder="1" applyAlignment="1">
      <alignment horizontal="center" vertical="center"/>
      <protection/>
    </xf>
    <xf numFmtId="0" fontId="37" fillId="0" borderId="34" xfId="51" applyFont="1" applyFill="1" applyBorder="1" applyAlignment="1">
      <alignment horizontal="center" vertical="center" wrapText="1"/>
      <protection/>
    </xf>
    <xf numFmtId="0" fontId="37" fillId="0" borderId="14" xfId="49" applyFont="1" applyBorder="1" applyAlignment="1">
      <alignment vertical="center"/>
      <protection/>
    </xf>
    <xf numFmtId="4" fontId="37" fillId="0" borderId="35" xfId="49" applyNumberFormat="1" applyFont="1" applyBorder="1" applyAlignment="1">
      <alignment vertical="center"/>
      <protection/>
    </xf>
    <xf numFmtId="0" fontId="1" fillId="0" borderId="17" xfId="51" applyFont="1" applyBorder="1" applyAlignment="1">
      <alignment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0" fillId="0" borderId="17" xfId="51" applyFont="1" applyFill="1" applyBorder="1" applyAlignment="1">
      <alignment vertical="center"/>
      <protection/>
    </xf>
    <xf numFmtId="0" fontId="1" fillId="0" borderId="18" xfId="49" applyFont="1" applyBorder="1" applyAlignment="1">
      <alignment vertical="center"/>
      <protection/>
    </xf>
    <xf numFmtId="4" fontId="1" fillId="0" borderId="16" xfId="49" applyNumberFormat="1" applyFont="1" applyBorder="1" applyAlignment="1">
      <alignment vertical="center"/>
      <protection/>
    </xf>
    <xf numFmtId="49" fontId="1" fillId="0" borderId="51" xfId="51" applyNumberFormat="1" applyFont="1" applyFill="1" applyBorder="1" applyAlignment="1">
      <alignment horizontal="center" vertical="center"/>
      <protection/>
    </xf>
    <xf numFmtId="0" fontId="1" fillId="0" borderId="39" xfId="49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vertical="center"/>
      <protection/>
    </xf>
    <xf numFmtId="0" fontId="1" fillId="0" borderId="39" xfId="49" applyFont="1" applyBorder="1" applyAlignment="1">
      <alignment horizontal="center" vertical="center"/>
      <protection/>
    </xf>
    <xf numFmtId="0" fontId="0" fillId="0" borderId="39" xfId="51" applyFont="1" applyFill="1" applyBorder="1" applyAlignment="1">
      <alignment vertical="center"/>
      <protection/>
    </xf>
    <xf numFmtId="0" fontId="1" fillId="0" borderId="43" xfId="49" applyFont="1" applyBorder="1" applyAlignment="1">
      <alignment vertical="center"/>
      <protection/>
    </xf>
    <xf numFmtId="4" fontId="1" fillId="0" borderId="52" xfId="49" applyNumberFormat="1" applyFont="1" applyBorder="1" applyAlignment="1">
      <alignment vertical="center"/>
      <protection/>
    </xf>
    <xf numFmtId="4" fontId="1" fillId="0" borderId="71" xfId="51" applyNumberFormat="1" applyFont="1" applyFill="1" applyBorder="1" applyAlignment="1">
      <alignment vertical="center"/>
      <protection/>
    </xf>
    <xf numFmtId="49" fontId="37" fillId="0" borderId="33" xfId="51" applyNumberFormat="1" applyFont="1" applyFill="1" applyBorder="1" applyAlignment="1">
      <alignment horizontal="center" vertical="center" wrapText="1"/>
      <protection/>
    </xf>
    <xf numFmtId="0" fontId="37" fillId="0" borderId="36" xfId="51" applyFont="1" applyFill="1" applyBorder="1" applyAlignment="1">
      <alignment horizontal="center" vertical="center" wrapText="1"/>
      <protection/>
    </xf>
    <xf numFmtId="49" fontId="37" fillId="0" borderId="34" xfId="51" applyNumberFormat="1" applyFont="1" applyFill="1" applyBorder="1" applyAlignment="1">
      <alignment horizontal="center" vertical="center" wrapText="1"/>
      <protection/>
    </xf>
    <xf numFmtId="0" fontId="37" fillId="0" borderId="65" xfId="48" applyFont="1" applyFill="1" applyBorder="1" applyAlignment="1">
      <alignment vertical="center" wrapText="1"/>
      <protection/>
    </xf>
    <xf numFmtId="4" fontId="37" fillId="0" borderId="35" xfId="51" applyNumberFormat="1" applyFont="1" applyFill="1" applyBorder="1" applyAlignment="1">
      <alignment vertical="center" wrapText="1"/>
      <protection/>
    </xf>
    <xf numFmtId="4" fontId="37" fillId="0" borderId="72" xfId="51" applyNumberFormat="1" applyFont="1" applyFill="1" applyBorder="1" applyAlignment="1">
      <alignment vertical="center" wrapText="1"/>
      <protection/>
    </xf>
    <xf numFmtId="0" fontId="1" fillId="0" borderId="53" xfId="51" applyFont="1" applyFill="1" applyBorder="1" applyAlignment="1">
      <alignment horizontal="center"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1" fillId="0" borderId="54" xfId="48" applyFont="1" applyFill="1" applyBorder="1" applyAlignment="1">
      <alignment vertical="center"/>
      <protection/>
    </xf>
    <xf numFmtId="4" fontId="1" fillId="0" borderId="73" xfId="51" applyNumberFormat="1" applyFont="1" applyFill="1" applyBorder="1" applyAlignment="1">
      <alignment vertical="center"/>
      <protection/>
    </xf>
    <xf numFmtId="49" fontId="37" fillId="0" borderId="24" xfId="51" applyNumberFormat="1" applyFont="1" applyFill="1" applyBorder="1" applyAlignment="1">
      <alignment horizontal="center" vertical="center" wrapText="1"/>
      <protection/>
    </xf>
    <xf numFmtId="49" fontId="37" fillId="0" borderId="25" xfId="51" applyNumberFormat="1" applyFont="1" applyFill="1" applyBorder="1" applyAlignment="1">
      <alignment horizontal="center" vertical="center" wrapText="1"/>
      <protection/>
    </xf>
    <xf numFmtId="49" fontId="2" fillId="0" borderId="74" xfId="51" applyNumberFormat="1" applyFont="1" applyFill="1" applyBorder="1" applyAlignment="1">
      <alignment horizontal="center" vertical="center"/>
      <protection/>
    </xf>
    <xf numFmtId="0" fontId="2" fillId="0" borderId="75" xfId="51" applyFont="1" applyFill="1" applyBorder="1" applyAlignment="1">
      <alignment horizontal="center" vertical="center"/>
      <protection/>
    </xf>
    <xf numFmtId="49" fontId="2" fillId="0" borderId="58" xfId="51" applyNumberFormat="1" applyFont="1" applyFill="1" applyBorder="1" applyAlignment="1">
      <alignment horizontal="center" vertical="center"/>
      <protection/>
    </xf>
    <xf numFmtId="49" fontId="2" fillId="0" borderId="76" xfId="51" applyNumberFormat="1" applyFont="1" applyFill="1" applyBorder="1" applyAlignment="1">
      <alignment horizontal="center" vertical="center"/>
      <protection/>
    </xf>
    <xf numFmtId="0" fontId="2" fillId="0" borderId="77" xfId="51" applyFont="1" applyFill="1" applyBorder="1" applyAlignment="1">
      <alignment horizontal="center" vertical="center"/>
      <protection/>
    </xf>
    <xf numFmtId="4" fontId="2" fillId="0" borderId="78" xfId="51" applyNumberFormat="1" applyFont="1" applyFill="1" applyBorder="1" applyAlignment="1">
      <alignment vertical="center"/>
      <protection/>
    </xf>
    <xf numFmtId="4" fontId="2" fillId="0" borderId="63" xfId="51" applyNumberFormat="1" applyFont="1" applyFill="1" applyBorder="1" applyAlignment="1">
      <alignment vertical="center"/>
      <protection/>
    </xf>
    <xf numFmtId="0" fontId="37" fillId="0" borderId="14" xfId="48" applyFont="1" applyFill="1" applyBorder="1" applyAlignment="1">
      <alignment vertical="center" wrapText="1"/>
      <protection/>
    </xf>
    <xf numFmtId="4" fontId="37" fillId="0" borderId="66" xfId="51" applyNumberFormat="1" applyFont="1" applyFill="1" applyBorder="1" applyAlignment="1">
      <alignment vertical="center" wrapText="1"/>
      <protection/>
    </xf>
    <xf numFmtId="4" fontId="37" fillId="0" borderId="69" xfId="51" applyNumberFormat="1" applyFont="1" applyFill="1" applyBorder="1" applyAlignment="1">
      <alignment vertical="center" wrapText="1"/>
      <protection/>
    </xf>
    <xf numFmtId="49" fontId="1" fillId="0" borderId="24" xfId="51" applyNumberFormat="1" applyFont="1" applyFill="1" applyBorder="1" applyAlignment="1">
      <alignment horizontal="center" vertical="center" wrapText="1"/>
      <protection/>
    </xf>
    <xf numFmtId="0" fontId="1" fillId="0" borderId="44" xfId="51" applyFont="1" applyFill="1" applyBorder="1" applyAlignment="1">
      <alignment horizontal="center" vertical="center" wrapText="1"/>
      <protection/>
    </xf>
    <xf numFmtId="49" fontId="1" fillId="0" borderId="25" xfId="51" applyNumberFormat="1" applyFont="1" applyFill="1" applyBorder="1" applyAlignment="1">
      <alignment horizontal="center" vertical="center" wrapText="1"/>
      <protection/>
    </xf>
    <xf numFmtId="0" fontId="1" fillId="0" borderId="25" xfId="51" applyFont="1" applyFill="1" applyBorder="1" applyAlignment="1">
      <alignment horizontal="center" vertical="center" wrapText="1"/>
      <protection/>
    </xf>
    <xf numFmtId="49" fontId="1" fillId="0" borderId="41" xfId="51" applyNumberFormat="1" applyFont="1" applyFill="1" applyBorder="1" applyAlignment="1">
      <alignment horizontal="center" vertical="center" wrapText="1"/>
      <protection/>
    </xf>
    <xf numFmtId="0" fontId="1" fillId="0" borderId="26" xfId="48" applyFont="1" applyFill="1" applyBorder="1" applyAlignment="1">
      <alignment vertical="center" wrapText="1"/>
      <protection/>
    </xf>
    <xf numFmtId="4" fontId="1" fillId="0" borderId="61" xfId="51" applyNumberFormat="1" applyFont="1" applyFill="1" applyBorder="1" applyAlignment="1">
      <alignment vertical="center" wrapText="1"/>
      <protection/>
    </xf>
    <xf numFmtId="4" fontId="1" fillId="0" borderId="24" xfId="51" applyNumberFormat="1" applyFont="1" applyFill="1" applyBorder="1" applyAlignment="1">
      <alignment vertical="center" wrapText="1"/>
      <protection/>
    </xf>
    <xf numFmtId="4" fontId="1" fillId="0" borderId="12" xfId="51" applyNumberFormat="1" applyFont="1" applyFill="1" applyBorder="1" applyAlignment="1">
      <alignment vertical="center" wrapText="1"/>
      <protection/>
    </xf>
    <xf numFmtId="4" fontId="1" fillId="0" borderId="15" xfId="51" applyNumberFormat="1" applyFont="1" applyFill="1" applyBorder="1" applyAlignment="1">
      <alignment vertical="center"/>
      <protection/>
    </xf>
    <xf numFmtId="0" fontId="37" fillId="0" borderId="14" xfId="48" applyFont="1" applyFill="1" applyBorder="1" applyAlignment="1">
      <alignment vertical="center"/>
      <protection/>
    </xf>
    <xf numFmtId="4" fontId="37" fillId="0" borderId="66" xfId="51" applyNumberFormat="1" applyFont="1" applyFill="1" applyBorder="1" applyAlignment="1">
      <alignment vertical="center"/>
      <protection/>
    </xf>
    <xf numFmtId="4" fontId="37" fillId="0" borderId="69" xfId="51" applyNumberFormat="1" applyFont="1" applyFill="1" applyBorder="1" applyAlignment="1">
      <alignment vertical="center"/>
      <protection/>
    </xf>
    <xf numFmtId="4" fontId="37" fillId="0" borderId="35" xfId="51" applyNumberFormat="1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49" fontId="1" fillId="0" borderId="17" xfId="51" applyNumberFormat="1" applyFont="1" applyFill="1" applyBorder="1" applyAlignment="1">
      <alignment horizontal="center"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43" xfId="48" applyFont="1" applyFill="1" applyBorder="1" applyAlignment="1">
      <alignment vertical="center"/>
      <protection/>
    </xf>
    <xf numFmtId="174" fontId="1" fillId="0" borderId="15" xfId="51" applyNumberFormat="1" applyFont="1" applyFill="1" applyBorder="1" applyAlignment="1">
      <alignment vertical="center"/>
      <protection/>
    </xf>
    <xf numFmtId="49" fontId="37" fillId="0" borderId="34" xfId="51" applyNumberFormat="1" applyFont="1" applyFill="1" applyBorder="1" applyAlignment="1">
      <alignment horizontal="center" vertical="center"/>
      <protection/>
    </xf>
    <xf numFmtId="49" fontId="1" fillId="0" borderId="46" xfId="51" applyNumberFormat="1" applyFont="1" applyFill="1" applyBorder="1" applyAlignment="1">
      <alignment horizontal="center" vertical="center"/>
      <protection/>
    </xf>
    <xf numFmtId="4" fontId="1" fillId="0" borderId="38" xfId="51" applyNumberFormat="1" applyFont="1" applyFill="1" applyBorder="1" applyAlignment="1">
      <alignment vertical="center"/>
      <protection/>
    </xf>
    <xf numFmtId="4" fontId="1" fillId="0" borderId="79" xfId="51" applyNumberFormat="1" applyFont="1" applyFill="1" applyBorder="1" applyAlignment="1">
      <alignment vertical="center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vertical="center"/>
      <protection/>
    </xf>
    <xf numFmtId="4" fontId="1" fillId="0" borderId="59" xfId="49" applyNumberFormat="1" applyFont="1" applyBorder="1" applyAlignment="1">
      <alignment vertical="center"/>
      <protection/>
    </xf>
    <xf numFmtId="4" fontId="1" fillId="0" borderId="10" xfId="49" applyNumberFormat="1" applyFont="1" applyBorder="1" applyAlignment="1">
      <alignment vertical="center"/>
      <protection/>
    </xf>
    <xf numFmtId="0" fontId="38" fillId="0" borderId="65" xfId="48" applyFont="1" applyFill="1" applyBorder="1" applyAlignment="1">
      <alignment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14" fillId="0" borderId="54" xfId="48" applyFont="1" applyFill="1" applyBorder="1" applyAlignment="1">
      <alignment vertical="center" wrapText="1"/>
      <protection/>
    </xf>
    <xf numFmtId="0" fontId="38" fillId="0" borderId="14" xfId="48" applyFont="1" applyFill="1" applyBorder="1" applyAlignment="1">
      <alignment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4" fontId="1" fillId="0" borderId="67" xfId="51" applyNumberFormat="1" applyFont="1" applyFill="1" applyBorder="1" applyAlignment="1">
      <alignment vertical="center"/>
      <protection/>
    </xf>
    <xf numFmtId="0" fontId="37" fillId="0" borderId="36" xfId="51" applyFont="1" applyFill="1" applyBorder="1" applyAlignment="1">
      <alignment horizontal="center" vertical="center"/>
      <protection/>
    </xf>
    <xf numFmtId="0" fontId="38" fillId="0" borderId="14" xfId="48" applyFont="1" applyBorder="1" applyAlignment="1">
      <alignment vertical="center" wrapText="1"/>
      <protection/>
    </xf>
    <xf numFmtId="4" fontId="1" fillId="0" borderId="50" xfId="51" applyNumberFormat="1" applyFont="1" applyFill="1" applyBorder="1" applyAlignment="1">
      <alignment vertical="center"/>
      <protection/>
    </xf>
    <xf numFmtId="174" fontId="1" fillId="0" borderId="50" xfId="51" applyNumberFormat="1" applyFont="1" applyFill="1" applyBorder="1" applyAlignment="1">
      <alignment vertical="center"/>
      <protection/>
    </xf>
    <xf numFmtId="169" fontId="11" fillId="0" borderId="17" xfId="0" applyNumberFormat="1" applyFont="1" applyBorder="1" applyAlignment="1">
      <alignment horizontal="right" vertical="center" wrapText="1"/>
    </xf>
    <xf numFmtId="169" fontId="11" fillId="0" borderId="25" xfId="0" applyNumberFormat="1" applyFont="1" applyBorder="1" applyAlignment="1">
      <alignment horizontal="right" vertical="center" wrapText="1"/>
    </xf>
    <xf numFmtId="49" fontId="2" fillId="0" borderId="46" xfId="5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0" xfId="51" applyFont="1" applyFill="1" applyBorder="1" applyAlignment="1">
      <alignment horizontal="center" vertical="center"/>
      <protection/>
    </xf>
    <xf numFmtId="0" fontId="2" fillId="0" borderId="73" xfId="51" applyFont="1" applyFill="1" applyBorder="1" applyAlignment="1">
      <alignment horizontal="center" vertical="center"/>
      <protection/>
    </xf>
    <xf numFmtId="0" fontId="2" fillId="0" borderId="78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63" xfId="51" applyFont="1" applyFill="1" applyBorder="1" applyAlignment="1">
      <alignment horizontal="center" vertical="center"/>
      <protection/>
    </xf>
    <xf numFmtId="0" fontId="2" fillId="0" borderId="50" xfId="5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2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2" fillId="0" borderId="60" xfId="51" applyNumberFormat="1" applyFont="1" applyFill="1" applyBorder="1" applyAlignment="1">
      <alignment horizontal="center" vertical="center"/>
      <protection/>
    </xf>
    <xf numFmtId="0" fontId="2" fillId="0" borderId="58" xfId="51" applyFont="1" applyFill="1" applyBorder="1" applyAlignment="1">
      <alignment horizontal="center" vertical="center"/>
      <protection/>
    </xf>
    <xf numFmtId="0" fontId="2" fillId="0" borderId="37" xfId="51" applyFont="1" applyFill="1" applyBorder="1" applyAlignment="1">
      <alignment horizontal="center" vertical="center"/>
      <protection/>
    </xf>
    <xf numFmtId="0" fontId="2" fillId="0" borderId="81" xfId="51" applyFont="1" applyFill="1" applyBorder="1" applyAlignment="1">
      <alignment horizontal="center" vertical="center"/>
      <protection/>
    </xf>
    <xf numFmtId="0" fontId="0" fillId="0" borderId="8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74" xfId="51" applyNumberFormat="1" applyFont="1" applyBorder="1" applyAlignment="1">
      <alignment horizontal="center" vertical="center"/>
      <protection/>
    </xf>
    <xf numFmtId="2" fontId="2" fillId="0" borderId="49" xfId="51" applyNumberFormat="1" applyFont="1" applyBorder="1" applyAlignment="1">
      <alignment horizontal="center" vertical="center"/>
      <protection/>
    </xf>
    <xf numFmtId="2" fontId="2" fillId="0" borderId="58" xfId="51" applyNumberFormat="1" applyFont="1" applyBorder="1" applyAlignment="1">
      <alignment horizontal="center" vertical="center"/>
      <protection/>
    </xf>
    <xf numFmtId="2" fontId="2" fillId="0" borderId="37" xfId="51" applyNumberFormat="1" applyFont="1" applyBorder="1" applyAlignment="1">
      <alignment horizontal="center" vertical="center"/>
      <protection/>
    </xf>
    <xf numFmtId="0" fontId="2" fillId="0" borderId="78" xfId="51" applyFont="1" applyBorder="1" applyAlignment="1">
      <alignment horizontal="center" vertical="center"/>
      <protection/>
    </xf>
    <xf numFmtId="0" fontId="2" fillId="0" borderId="38" xfId="51" applyFont="1" applyBorder="1" applyAlignment="1">
      <alignment horizontal="center" vertical="center"/>
      <protection/>
    </xf>
    <xf numFmtId="0" fontId="2" fillId="0" borderId="60" xfId="51" applyFont="1" applyBorder="1" applyAlignment="1">
      <alignment horizontal="center" vertical="center"/>
      <protection/>
    </xf>
    <xf numFmtId="0" fontId="2" fillId="0" borderId="46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64" xfId="51" applyFont="1" applyBorder="1" applyAlignment="1">
      <alignment horizontal="center"/>
      <protection/>
    </xf>
    <xf numFmtId="2" fontId="1" fillId="0" borderId="63" xfId="51" applyNumberFormat="1" applyFont="1" applyFill="1" applyBorder="1" applyAlignment="1">
      <alignment horizontal="center" vertical="center" textRotation="90"/>
      <protection/>
    </xf>
    <xf numFmtId="2" fontId="1" fillId="0" borderId="68" xfId="51" applyNumberFormat="1" applyFont="1" applyFill="1" applyBorder="1" applyAlignment="1">
      <alignment horizontal="center" vertical="center" textRotation="90"/>
      <protection/>
    </xf>
    <xf numFmtId="2" fontId="1" fillId="0" borderId="50" xfId="51" applyNumberFormat="1" applyFont="1" applyFill="1" applyBorder="1" applyAlignment="1">
      <alignment horizontal="center" vertical="center" textRotation="90"/>
      <protection/>
    </xf>
    <xf numFmtId="4" fontId="17" fillId="0" borderId="0" xfId="51" applyNumberFormat="1" applyFont="1" applyBorder="1" applyAlignment="1">
      <alignment vertical="center"/>
      <protection/>
    </xf>
    <xf numFmtId="0" fontId="2" fillId="0" borderId="63" xfId="51" applyFont="1" applyBorder="1" applyAlignment="1">
      <alignment horizontal="center" vertical="center"/>
      <protection/>
    </xf>
    <xf numFmtId="0" fontId="2" fillId="0" borderId="50" xfId="51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Kapitola 924" xfId="50"/>
    <cellStyle name="normální_Rozpis výdajů 03 bez PO" xfId="51"/>
    <cellStyle name="normální_Rozpis výdajů 03 bez PO 2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34">
      <selection activeCell="E26" sqref="E26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5" width="12.7109375" style="2" bestFit="1" customWidth="1"/>
    <col min="6" max="6" width="13.140625" style="2" bestFit="1" customWidth="1"/>
    <col min="7" max="16384" width="9.140625" style="2" customWidth="1"/>
  </cols>
  <sheetData>
    <row r="1" spans="1:6" ht="20.25">
      <c r="A1" s="332" t="s">
        <v>108</v>
      </c>
      <c r="B1" s="332"/>
      <c r="C1" s="332"/>
      <c r="D1" s="332"/>
      <c r="E1" s="332"/>
      <c r="F1" s="332"/>
    </row>
    <row r="2" ht="18" customHeight="1"/>
    <row r="3" spans="1:6" ht="16.5" customHeight="1">
      <c r="A3" s="333" t="s">
        <v>30</v>
      </c>
      <c r="B3" s="333"/>
      <c r="C3" s="333"/>
      <c r="D3" s="333"/>
      <c r="E3" s="333"/>
      <c r="F3" s="333"/>
    </row>
    <row r="4" ht="12.75" customHeight="1" thickBot="1"/>
    <row r="5" spans="1:6" ht="15" thickBot="1">
      <c r="A5" s="3" t="s">
        <v>1</v>
      </c>
      <c r="B5" s="4" t="s">
        <v>2</v>
      </c>
      <c r="C5" s="25" t="s">
        <v>92</v>
      </c>
      <c r="D5" s="25" t="s">
        <v>249</v>
      </c>
      <c r="E5" s="25" t="s">
        <v>0</v>
      </c>
      <c r="F5" s="26" t="s">
        <v>250</v>
      </c>
    </row>
    <row r="6" spans="1:6" ht="16.5" customHeight="1">
      <c r="A6" s="5" t="s">
        <v>11</v>
      </c>
      <c r="B6" s="6" t="s">
        <v>31</v>
      </c>
      <c r="C6" s="78">
        <f>C7+C8+C9</f>
        <v>2242991</v>
      </c>
      <c r="D6" s="165">
        <f>D7+D8+D9</f>
        <v>2437519.63</v>
      </c>
      <c r="E6" s="156">
        <f>SUM(E7:E9)</f>
        <v>0</v>
      </c>
      <c r="F6" s="7">
        <f>SUM(F7:F9)</f>
        <v>2437519.63</v>
      </c>
    </row>
    <row r="7" spans="1:6" ht="15" customHeight="1">
      <c r="A7" s="8" t="s">
        <v>12</v>
      </c>
      <c r="B7" s="9" t="s">
        <v>13</v>
      </c>
      <c r="C7" s="79">
        <v>2076000</v>
      </c>
      <c r="D7" s="16">
        <v>2082391.22</v>
      </c>
      <c r="E7" s="44"/>
      <c r="F7" s="11">
        <f aca="true" t="shared" si="0" ref="F7:F23">D7+E7</f>
        <v>2082391.22</v>
      </c>
    </row>
    <row r="8" spans="1:6" ht="15">
      <c r="A8" s="8" t="s">
        <v>14</v>
      </c>
      <c r="B8" s="9" t="s">
        <v>15</v>
      </c>
      <c r="C8" s="79">
        <v>166991</v>
      </c>
      <c r="D8" s="16">
        <v>338845.39</v>
      </c>
      <c r="E8" s="157"/>
      <c r="F8" s="11">
        <f t="shared" si="0"/>
        <v>338845.39</v>
      </c>
    </row>
    <row r="9" spans="1:6" ht="15">
      <c r="A9" s="8" t="s">
        <v>16</v>
      </c>
      <c r="B9" s="9" t="s">
        <v>17</v>
      </c>
      <c r="C9" s="79">
        <v>0</v>
      </c>
      <c r="D9" s="16">
        <v>16283.02</v>
      </c>
      <c r="E9" s="44"/>
      <c r="F9" s="11">
        <f t="shared" si="0"/>
        <v>16283.02</v>
      </c>
    </row>
    <row r="10" spans="1:6" ht="15">
      <c r="A10" s="12" t="s">
        <v>18</v>
      </c>
      <c r="B10" s="9" t="s">
        <v>19</v>
      </c>
      <c r="C10" s="13">
        <f>C11+C16</f>
        <v>84887</v>
      </c>
      <c r="D10" s="14">
        <f>D11+D16</f>
        <v>4099494.2600000002</v>
      </c>
      <c r="E10" s="153">
        <f>E11+E16</f>
        <v>-4239.163000000001</v>
      </c>
      <c r="F10" s="18">
        <f>F11+F16</f>
        <v>4095255.097</v>
      </c>
    </row>
    <row r="11" spans="1:6" ht="15">
      <c r="A11" s="54" t="s">
        <v>61</v>
      </c>
      <c r="B11" s="9" t="s">
        <v>20</v>
      </c>
      <c r="C11" s="79">
        <f>SUM(C12:C15)</f>
        <v>84887</v>
      </c>
      <c r="D11" s="16">
        <f>SUM(D12:D15)</f>
        <v>3928350.56</v>
      </c>
      <c r="E11" s="329">
        <f>SUM(E12:E15)</f>
        <v>-101.15999999999985</v>
      </c>
      <c r="F11" s="11">
        <f>SUM(F12:F15)</f>
        <v>3928249.4</v>
      </c>
    </row>
    <row r="12" spans="1:6" ht="15">
      <c r="A12" s="54" t="s">
        <v>62</v>
      </c>
      <c r="B12" s="9" t="s">
        <v>21</v>
      </c>
      <c r="C12" s="55">
        <v>60887</v>
      </c>
      <c r="D12" s="16">
        <v>60887</v>
      </c>
      <c r="E12" s="157"/>
      <c r="F12" s="11">
        <f t="shared" si="0"/>
        <v>60887</v>
      </c>
    </row>
    <row r="13" spans="1:6" ht="15">
      <c r="A13" s="54" t="s">
        <v>63</v>
      </c>
      <c r="B13" s="9" t="s">
        <v>20</v>
      </c>
      <c r="C13" s="55">
        <v>0</v>
      </c>
      <c r="D13" s="16">
        <v>3840086.01</v>
      </c>
      <c r="E13" s="157">
        <f>'příjmy OD'!J30</f>
        <v>-101.15999999999985</v>
      </c>
      <c r="F13" s="11">
        <f>D13+E13</f>
        <v>3839984.8499999996</v>
      </c>
    </row>
    <row r="14" spans="1:6" ht="15">
      <c r="A14" s="54" t="s">
        <v>253</v>
      </c>
      <c r="B14" s="9" t="s">
        <v>254</v>
      </c>
      <c r="C14" s="55">
        <v>0</v>
      </c>
      <c r="D14" s="16">
        <v>2270.68</v>
      </c>
      <c r="E14" s="157"/>
      <c r="F14" s="11">
        <f>D14+E14</f>
        <v>2270.68</v>
      </c>
    </row>
    <row r="15" spans="1:6" ht="15">
      <c r="A15" s="54" t="s">
        <v>64</v>
      </c>
      <c r="B15" s="9">
        <v>4121</v>
      </c>
      <c r="C15" s="55">
        <v>24000</v>
      </c>
      <c r="D15" s="16">
        <v>25106.87</v>
      </c>
      <c r="E15" s="157"/>
      <c r="F15" s="11">
        <f t="shared" si="0"/>
        <v>25106.87</v>
      </c>
    </row>
    <row r="16" spans="1:6" ht="15">
      <c r="A16" s="8" t="s">
        <v>32</v>
      </c>
      <c r="B16" s="9" t="s">
        <v>22</v>
      </c>
      <c r="C16" s="55">
        <f>SUM(C17:C19)</f>
        <v>0</v>
      </c>
      <c r="D16" s="16">
        <f>SUM(D17:D19)</f>
        <v>171143.69999999998</v>
      </c>
      <c r="E16" s="329">
        <f>SUM(E17:E19)</f>
        <v>-4138.0030000000015</v>
      </c>
      <c r="F16" s="11">
        <f>SUM(F17:F19)</f>
        <v>167005.697</v>
      </c>
    </row>
    <row r="17" spans="1:6" ht="15">
      <c r="A17" s="8" t="s">
        <v>65</v>
      </c>
      <c r="B17" s="9" t="s">
        <v>22</v>
      </c>
      <c r="C17" s="55">
        <v>0</v>
      </c>
      <c r="D17" s="16">
        <v>168915.16</v>
      </c>
      <c r="E17" s="157">
        <f>'příjmy OD'!J54</f>
        <v>-4138.0030000000015</v>
      </c>
      <c r="F17" s="11">
        <f t="shared" si="0"/>
        <v>164777.157</v>
      </c>
    </row>
    <row r="18" spans="1:6" ht="15">
      <c r="A18" s="54" t="s">
        <v>66</v>
      </c>
      <c r="B18" s="9">
        <v>4221</v>
      </c>
      <c r="C18" s="55">
        <v>0</v>
      </c>
      <c r="D18" s="16">
        <v>987.02</v>
      </c>
      <c r="E18" s="44"/>
      <c r="F18" s="11">
        <f>D18+E18</f>
        <v>987.02</v>
      </c>
    </row>
    <row r="19" spans="1:6" ht="15">
      <c r="A19" s="54" t="s">
        <v>255</v>
      </c>
      <c r="B19" s="9">
        <v>4232</v>
      </c>
      <c r="C19" s="55">
        <v>0</v>
      </c>
      <c r="D19" s="16">
        <v>1241.52</v>
      </c>
      <c r="E19" s="44"/>
      <c r="F19" s="11">
        <f>D19+E19</f>
        <v>1241.52</v>
      </c>
    </row>
    <row r="20" spans="1:6" ht="14.25">
      <c r="A20" s="12" t="s">
        <v>23</v>
      </c>
      <c r="B20" s="17" t="s">
        <v>33</v>
      </c>
      <c r="C20" s="13">
        <f>C6+C10</f>
        <v>2327878</v>
      </c>
      <c r="D20" s="14">
        <f>D6+D10</f>
        <v>6537013.890000001</v>
      </c>
      <c r="E20" s="14">
        <f>E6+E10</f>
        <v>-4239.163000000001</v>
      </c>
      <c r="F20" s="18">
        <f>F6+F10</f>
        <v>6532774.727</v>
      </c>
    </row>
    <row r="21" spans="1:6" ht="14.25">
      <c r="A21" s="12" t="s">
        <v>24</v>
      </c>
      <c r="B21" s="17" t="s">
        <v>25</v>
      </c>
      <c r="C21" s="13">
        <f>SUM(C22:C26)</f>
        <v>0</v>
      </c>
      <c r="D21" s="14">
        <f>SUM(D22:D26)</f>
        <v>1368595.4500000002</v>
      </c>
      <c r="E21" s="14">
        <f>SUM(E22:E26)</f>
        <v>-2214.3550000000005</v>
      </c>
      <c r="F21" s="15">
        <f>SUM(F22:F26)</f>
        <v>1366381.0950000002</v>
      </c>
    </row>
    <row r="22" spans="1:6" ht="15">
      <c r="A22" s="54" t="s">
        <v>109</v>
      </c>
      <c r="B22" s="9" t="s">
        <v>26</v>
      </c>
      <c r="C22" s="55">
        <v>0</v>
      </c>
      <c r="D22" s="16">
        <v>97844.08</v>
      </c>
      <c r="E22" s="154"/>
      <c r="F22" s="11">
        <f t="shared" si="0"/>
        <v>97844.08</v>
      </c>
    </row>
    <row r="23" spans="1:6" ht="15">
      <c r="A23" s="54" t="s">
        <v>110</v>
      </c>
      <c r="B23" s="9" t="s">
        <v>26</v>
      </c>
      <c r="C23" s="55">
        <v>0</v>
      </c>
      <c r="D23" s="16">
        <v>346071.2</v>
      </c>
      <c r="E23" s="10"/>
      <c r="F23" s="11">
        <f t="shared" si="0"/>
        <v>346071.2</v>
      </c>
    </row>
    <row r="24" spans="1:6" ht="15">
      <c r="A24" s="54" t="s">
        <v>111</v>
      </c>
      <c r="B24" s="9" t="s">
        <v>26</v>
      </c>
      <c r="C24" s="55">
        <v>0</v>
      </c>
      <c r="D24" s="16">
        <v>623654.29</v>
      </c>
      <c r="E24" s="10"/>
      <c r="F24" s="11">
        <f>D24+E24</f>
        <v>623654.29</v>
      </c>
    </row>
    <row r="25" spans="1:6" ht="15">
      <c r="A25" s="54" t="s">
        <v>67</v>
      </c>
      <c r="B25" s="9" t="s">
        <v>68</v>
      </c>
      <c r="C25" s="55">
        <v>0</v>
      </c>
      <c r="D25" s="169">
        <v>347900.88</v>
      </c>
      <c r="E25" s="157">
        <f>'2406'!I67+'2406'!I82+'2406'!I85+'2406'!I91+'2406'!I97+'2406'!I100+'2406'!I103+'2406'!I106+'2406'!I109+'2406'!I112+'2406'!I115+'2406'!I118+'2406'!I121+'2406'!I130+'2406'!I189+'2406'!I241+'2406'!I243</f>
        <v>-2214.3550000000005</v>
      </c>
      <c r="F25" s="11">
        <f>D25+E25</f>
        <v>345686.525</v>
      </c>
    </row>
    <row r="26" spans="1:6" ht="15.75" thickBot="1">
      <c r="A26" s="54" t="s">
        <v>69</v>
      </c>
      <c r="B26" s="9">
        <v>8124</v>
      </c>
      <c r="C26" s="55">
        <v>0</v>
      </c>
      <c r="D26" s="164">
        <v>-46875</v>
      </c>
      <c r="E26" s="10"/>
      <c r="F26" s="11">
        <f>D26+E26</f>
        <v>-46875</v>
      </c>
    </row>
    <row r="27" spans="1:6" ht="15" thickBot="1">
      <c r="A27" s="19" t="s">
        <v>27</v>
      </c>
      <c r="B27" s="20"/>
      <c r="C27" s="56">
        <f>C21+C10+C6</f>
        <v>2327878</v>
      </c>
      <c r="D27" s="40">
        <f>D21+D10+D6</f>
        <v>7905609.340000001</v>
      </c>
      <c r="E27" s="21">
        <f>E6+E10+E21</f>
        <v>-6453.518000000002</v>
      </c>
      <c r="F27" s="22">
        <f>D27+E27</f>
        <v>7899155.822000001</v>
      </c>
    </row>
    <row r="29" ht="11.25">
      <c r="E29" s="57"/>
    </row>
    <row r="30" spans="1:6" ht="18.75">
      <c r="A30" s="333" t="s">
        <v>34</v>
      </c>
      <c r="B30" s="333"/>
      <c r="C30" s="333"/>
      <c r="D30" s="333"/>
      <c r="E30" s="333"/>
      <c r="F30" s="333"/>
    </row>
    <row r="31" spans="1:6" ht="12" customHeight="1" thickBot="1">
      <c r="A31" s="1"/>
      <c r="B31" s="1"/>
      <c r="C31" s="1"/>
      <c r="D31" s="1"/>
      <c r="E31" s="1"/>
      <c r="F31" s="1"/>
    </row>
    <row r="32" spans="1:6" ht="15" thickBot="1">
      <c r="A32" s="23" t="s">
        <v>35</v>
      </c>
      <c r="B32" s="24" t="s">
        <v>2</v>
      </c>
      <c r="C32" s="25" t="s">
        <v>92</v>
      </c>
      <c r="D32" s="25" t="s">
        <v>249</v>
      </c>
      <c r="E32" s="25" t="s">
        <v>0</v>
      </c>
      <c r="F32" s="26" t="s">
        <v>250</v>
      </c>
    </row>
    <row r="33" spans="1:6" ht="15">
      <c r="A33" s="27" t="s">
        <v>36</v>
      </c>
      <c r="B33" s="28" t="s">
        <v>37</v>
      </c>
      <c r="C33" s="29">
        <v>33956</v>
      </c>
      <c r="D33" s="166">
        <v>34956</v>
      </c>
      <c r="E33" s="29"/>
      <c r="F33" s="30">
        <f>D33+E33</f>
        <v>34956</v>
      </c>
    </row>
    <row r="34" spans="1:6" ht="15">
      <c r="A34" s="31" t="s">
        <v>38</v>
      </c>
      <c r="B34" s="32" t="s">
        <v>37</v>
      </c>
      <c r="C34" s="16">
        <v>210083</v>
      </c>
      <c r="D34" s="167">
        <v>211188.95</v>
      </c>
      <c r="E34" s="29"/>
      <c r="F34" s="30">
        <f>D34+E34</f>
        <v>211188.95</v>
      </c>
    </row>
    <row r="35" spans="1:6" ht="15">
      <c r="A35" s="31" t="s">
        <v>39</v>
      </c>
      <c r="B35" s="32" t="s">
        <v>37</v>
      </c>
      <c r="C35" s="16">
        <v>859010</v>
      </c>
      <c r="D35" s="167">
        <v>963766.15</v>
      </c>
      <c r="E35" s="29"/>
      <c r="F35" s="30">
        <f aca="true" t="shared" si="1" ref="F35:F50">D35+E35</f>
        <v>963766.15</v>
      </c>
    </row>
    <row r="36" spans="1:6" ht="15">
      <c r="A36" s="31" t="s">
        <v>40</v>
      </c>
      <c r="B36" s="32" t="s">
        <v>37</v>
      </c>
      <c r="C36" s="16">
        <v>681458</v>
      </c>
      <c r="D36" s="167">
        <v>847184.82</v>
      </c>
      <c r="E36" s="112"/>
      <c r="F36" s="30">
        <f t="shared" si="1"/>
        <v>847184.82</v>
      </c>
    </row>
    <row r="37" spans="1:6" ht="15">
      <c r="A37" s="31" t="s">
        <v>60</v>
      </c>
      <c r="B37" s="32" t="s">
        <v>37</v>
      </c>
      <c r="C37" s="16">
        <v>106000</v>
      </c>
      <c r="D37" s="167">
        <v>199914</v>
      </c>
      <c r="E37" s="112"/>
      <c r="F37" s="30">
        <f t="shared" si="1"/>
        <v>199914</v>
      </c>
    </row>
    <row r="38" spans="1:6" ht="15">
      <c r="A38" s="31" t="s">
        <v>41</v>
      </c>
      <c r="B38" s="32" t="s">
        <v>37</v>
      </c>
      <c r="C38" s="16">
        <v>0</v>
      </c>
      <c r="D38" s="167">
        <v>3533221.96</v>
      </c>
      <c r="E38" s="112"/>
      <c r="F38" s="30">
        <f t="shared" si="1"/>
        <v>3533221.96</v>
      </c>
    </row>
    <row r="39" spans="1:6" ht="15">
      <c r="A39" s="31" t="s">
        <v>42</v>
      </c>
      <c r="B39" s="32" t="s">
        <v>37</v>
      </c>
      <c r="C39" s="16">
        <v>20750</v>
      </c>
      <c r="D39" s="167">
        <v>20750</v>
      </c>
      <c r="E39" s="112"/>
      <c r="F39" s="30">
        <f t="shared" si="1"/>
        <v>20750</v>
      </c>
    </row>
    <row r="40" spans="1:6" ht="15">
      <c r="A40" s="31" t="s">
        <v>43</v>
      </c>
      <c r="B40" s="32" t="s">
        <v>44</v>
      </c>
      <c r="C40" s="16">
        <v>76870</v>
      </c>
      <c r="D40" s="167">
        <v>201869.15</v>
      </c>
      <c r="E40" s="112"/>
      <c r="F40" s="30">
        <f t="shared" si="1"/>
        <v>201869.15</v>
      </c>
    </row>
    <row r="41" spans="1:6" ht="15">
      <c r="A41" s="31" t="s">
        <v>45</v>
      </c>
      <c r="B41" s="32" t="s">
        <v>44</v>
      </c>
      <c r="C41" s="16">
        <v>0</v>
      </c>
      <c r="D41" s="167">
        <v>0</v>
      </c>
      <c r="E41" s="155"/>
      <c r="F41" s="30">
        <f t="shared" si="1"/>
        <v>0</v>
      </c>
    </row>
    <row r="42" spans="1:6" ht="15">
      <c r="A42" s="31" t="s">
        <v>46</v>
      </c>
      <c r="B42" s="32" t="s">
        <v>47</v>
      </c>
      <c r="C42" s="16">
        <v>142431</v>
      </c>
      <c r="D42" s="167">
        <v>1123000.51</v>
      </c>
      <c r="E42" s="112"/>
      <c r="F42" s="30">
        <f t="shared" si="1"/>
        <v>1123000.51</v>
      </c>
    </row>
    <row r="43" spans="1:8" ht="15">
      <c r="A43" s="31" t="s">
        <v>48</v>
      </c>
      <c r="B43" s="32" t="s">
        <v>47</v>
      </c>
      <c r="C43" s="16">
        <f>56195+46875</f>
        <v>103070</v>
      </c>
      <c r="D43" s="167">
        <v>557207.96</v>
      </c>
      <c r="E43" s="330">
        <f>'2406'!I7</f>
        <v>-6453.518000000003</v>
      </c>
      <c r="F43" s="30">
        <f t="shared" si="1"/>
        <v>550754.4419999999</v>
      </c>
      <c r="H43" s="113"/>
    </row>
    <row r="44" spans="1:6" ht="15">
      <c r="A44" s="31" t="s">
        <v>49</v>
      </c>
      <c r="B44" s="32" t="s">
        <v>37</v>
      </c>
      <c r="C44" s="16">
        <v>3500</v>
      </c>
      <c r="D44" s="167">
        <v>5421</v>
      </c>
      <c r="E44" s="29"/>
      <c r="F44" s="30">
        <f t="shared" si="1"/>
        <v>5421</v>
      </c>
    </row>
    <row r="45" spans="1:6" ht="15">
      <c r="A45" s="31" t="s">
        <v>50</v>
      </c>
      <c r="B45" s="32" t="s">
        <v>47</v>
      </c>
      <c r="C45" s="16">
        <v>1000</v>
      </c>
      <c r="D45" s="167">
        <v>15643.47</v>
      </c>
      <c r="E45" s="29"/>
      <c r="F45" s="30">
        <f t="shared" si="1"/>
        <v>15643.47</v>
      </c>
    </row>
    <row r="46" spans="1:6" ht="15">
      <c r="A46" s="31" t="s">
        <v>51</v>
      </c>
      <c r="B46" s="32" t="s">
        <v>47</v>
      </c>
      <c r="C46" s="16">
        <v>18000</v>
      </c>
      <c r="D46" s="167">
        <v>62960.66</v>
      </c>
      <c r="E46" s="29"/>
      <c r="F46" s="30">
        <f t="shared" si="1"/>
        <v>62960.66</v>
      </c>
    </row>
    <row r="47" spans="1:6" ht="15">
      <c r="A47" s="31" t="s">
        <v>52</v>
      </c>
      <c r="B47" s="32" t="s">
        <v>47</v>
      </c>
      <c r="C47" s="16">
        <v>14000</v>
      </c>
      <c r="D47" s="167">
        <v>14064.25</v>
      </c>
      <c r="E47" s="29"/>
      <c r="F47" s="30">
        <f t="shared" si="1"/>
        <v>14064.25</v>
      </c>
    </row>
    <row r="48" spans="1:6" ht="15">
      <c r="A48" s="31" t="s">
        <v>53</v>
      </c>
      <c r="B48" s="32" t="s">
        <v>47</v>
      </c>
      <c r="C48" s="16">
        <v>7000</v>
      </c>
      <c r="D48" s="167">
        <v>7012.03</v>
      </c>
      <c r="E48" s="29"/>
      <c r="F48" s="30">
        <f t="shared" si="1"/>
        <v>7012.03</v>
      </c>
    </row>
    <row r="49" spans="1:6" ht="15">
      <c r="A49" s="31" t="s">
        <v>54</v>
      </c>
      <c r="B49" s="32" t="s">
        <v>47</v>
      </c>
      <c r="C49" s="16">
        <v>45750</v>
      </c>
      <c r="D49" s="167">
        <v>100086.667</v>
      </c>
      <c r="E49" s="29"/>
      <c r="F49" s="30">
        <f t="shared" si="1"/>
        <v>100086.667</v>
      </c>
    </row>
    <row r="50" spans="1:6" ht="15.75" thickBot="1">
      <c r="A50" s="33" t="s">
        <v>55</v>
      </c>
      <c r="B50" s="34" t="s">
        <v>47</v>
      </c>
      <c r="C50" s="35">
        <v>5000</v>
      </c>
      <c r="D50" s="168">
        <v>7361.767</v>
      </c>
      <c r="E50" s="36"/>
      <c r="F50" s="37">
        <f t="shared" si="1"/>
        <v>7361.767</v>
      </c>
    </row>
    <row r="51" spans="1:6" ht="15" thickBot="1">
      <c r="A51" s="38" t="s">
        <v>56</v>
      </c>
      <c r="B51" s="39"/>
      <c r="C51" s="40">
        <f>SUM(C33:C50)</f>
        <v>2327878</v>
      </c>
      <c r="D51" s="40">
        <f>SUM(D33:D50)</f>
        <v>7905609.3440000005</v>
      </c>
      <c r="E51" s="40">
        <f>SUM(E33:E50)</f>
        <v>-6453.518000000003</v>
      </c>
      <c r="F51" s="22">
        <f>SUM(F33:F50)</f>
        <v>7899155.826</v>
      </c>
    </row>
  </sheetData>
  <sheetProtection/>
  <mergeCells count="3">
    <mergeCell ref="A1:F1"/>
    <mergeCell ref="A3:F3"/>
    <mergeCell ref="A30:F30"/>
  </mergeCells>
  <printOptions horizontalCentered="1"/>
  <pageMargins left="0.3937007874015748" right="0.3937007874015748" top="0.71" bottom="0.45" header="0.23" footer="0.19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70"/>
  <sheetViews>
    <sheetView workbookViewId="0" topLeftCell="A1">
      <selection activeCell="J6" sqref="J6"/>
    </sheetView>
  </sheetViews>
  <sheetFormatPr defaultColWidth="9.140625" defaultRowHeight="12.75"/>
  <cols>
    <col min="1" max="1" width="4.7109375" style="171" customWidth="1"/>
    <col min="2" max="2" width="3.00390625" style="171" customWidth="1"/>
    <col min="3" max="3" width="9.421875" style="171" customWidth="1"/>
    <col min="4" max="4" width="4.28125" style="171" customWidth="1"/>
    <col min="5" max="5" width="5.28125" style="171" customWidth="1"/>
    <col min="6" max="6" width="7.8515625" style="171" bestFit="1" customWidth="1"/>
    <col min="7" max="7" width="43.7109375" style="171" customWidth="1"/>
    <col min="8" max="9" width="8.7109375" style="171" customWidth="1"/>
    <col min="10" max="10" width="9.28125" style="171" customWidth="1"/>
    <col min="11" max="11" width="9.00390625" style="171" customWidth="1"/>
    <col min="12" max="16384" width="9.140625" style="171" customWidth="1"/>
  </cols>
  <sheetData>
    <row r="1" spans="1:11" ht="18" customHeight="1">
      <c r="A1" s="342" t="s">
        <v>268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7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>
      <c r="A3" s="343" t="s">
        <v>269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10.5" customHeight="1" thickBot="1">
      <c r="A4" s="172"/>
      <c r="B4" s="172"/>
      <c r="C4" s="172"/>
      <c r="D4" s="172"/>
      <c r="E4" s="172"/>
      <c r="F4" s="172"/>
      <c r="G4" s="172"/>
      <c r="H4" s="172"/>
      <c r="I4" s="173"/>
      <c r="K4" s="173" t="s">
        <v>270</v>
      </c>
    </row>
    <row r="5" spans="1:11" ht="12.75" customHeight="1" thickBot="1">
      <c r="A5" s="344" t="s">
        <v>271</v>
      </c>
      <c r="B5" s="345" t="s">
        <v>6</v>
      </c>
      <c r="C5" s="345" t="s">
        <v>8</v>
      </c>
      <c r="D5" s="345" t="s">
        <v>9</v>
      </c>
      <c r="E5" s="345" t="s">
        <v>10</v>
      </c>
      <c r="F5" s="347" t="s">
        <v>272</v>
      </c>
      <c r="G5" s="334" t="s">
        <v>273</v>
      </c>
      <c r="H5" s="336" t="s">
        <v>92</v>
      </c>
      <c r="I5" s="338" t="s">
        <v>249</v>
      </c>
      <c r="J5" s="340" t="s">
        <v>352</v>
      </c>
      <c r="K5" s="341"/>
    </row>
    <row r="6" spans="1:11" ht="12.75" customHeight="1" thickBot="1">
      <c r="A6" s="331"/>
      <c r="B6" s="346"/>
      <c r="C6" s="346"/>
      <c r="D6" s="346"/>
      <c r="E6" s="346"/>
      <c r="F6" s="348"/>
      <c r="G6" s="335"/>
      <c r="H6" s="337"/>
      <c r="I6" s="339"/>
      <c r="J6" s="175" t="s">
        <v>28</v>
      </c>
      <c r="K6" s="176" t="s">
        <v>250</v>
      </c>
    </row>
    <row r="7" spans="1:11" s="184" customFormat="1" ht="13.5" customHeight="1" thickBot="1">
      <c r="A7" s="177" t="s">
        <v>5</v>
      </c>
      <c r="B7" s="178" t="s">
        <v>7</v>
      </c>
      <c r="C7" s="179" t="s">
        <v>5</v>
      </c>
      <c r="D7" s="180" t="s">
        <v>5</v>
      </c>
      <c r="E7" s="180" t="s">
        <v>5</v>
      </c>
      <c r="F7" s="181"/>
      <c r="G7" s="182" t="s">
        <v>274</v>
      </c>
      <c r="H7" s="183">
        <f>H8+H10+H26+H28+H52</f>
        <v>29100</v>
      </c>
      <c r="I7" s="48">
        <f>I8+I10+I26+I28+I52</f>
        <v>367210.44890975</v>
      </c>
      <c r="J7" s="48">
        <f>J8+J10+J26+J28+J52</f>
        <v>-4239.163000000001</v>
      </c>
      <c r="K7" s="48">
        <f>K8+K10+K26+K28+K52</f>
        <v>362971.28590975</v>
      </c>
    </row>
    <row r="8" spans="1:11" s="184" customFormat="1" ht="13.5" customHeight="1" thickBot="1">
      <c r="A8" s="185" t="s">
        <v>5</v>
      </c>
      <c r="B8" s="186" t="s">
        <v>7</v>
      </c>
      <c r="C8" s="187" t="s">
        <v>5</v>
      </c>
      <c r="D8" s="188" t="s">
        <v>5</v>
      </c>
      <c r="E8" s="188" t="s">
        <v>13</v>
      </c>
      <c r="F8" s="189"/>
      <c r="G8" s="190" t="s">
        <v>275</v>
      </c>
      <c r="H8" s="191">
        <f>H9</f>
        <v>100</v>
      </c>
      <c r="I8" s="192">
        <f>I9</f>
        <v>100</v>
      </c>
      <c r="J8" s="192">
        <f>J9</f>
        <v>0</v>
      </c>
      <c r="K8" s="193">
        <f>K9</f>
        <v>100</v>
      </c>
    </row>
    <row r="9" spans="1:11" s="184" customFormat="1" ht="13.5" customHeight="1" thickBot="1">
      <c r="A9" s="194" t="s">
        <v>276</v>
      </c>
      <c r="B9" s="195" t="s">
        <v>277</v>
      </c>
      <c r="C9" s="196" t="s">
        <v>5</v>
      </c>
      <c r="D9" s="197" t="s">
        <v>5</v>
      </c>
      <c r="E9" s="198">
        <v>1361</v>
      </c>
      <c r="F9" s="199"/>
      <c r="G9" s="200" t="s">
        <v>278</v>
      </c>
      <c r="H9" s="201">
        <v>100</v>
      </c>
      <c r="I9" s="202">
        <v>100</v>
      </c>
      <c r="J9" s="203"/>
      <c r="K9" s="204">
        <f>I9+J9</f>
        <v>100</v>
      </c>
    </row>
    <row r="10" spans="1:11" s="184" customFormat="1" ht="13.5" customHeight="1" thickBot="1">
      <c r="A10" s="185" t="s">
        <v>5</v>
      </c>
      <c r="B10" s="186" t="s">
        <v>7</v>
      </c>
      <c r="C10" s="187" t="s">
        <v>5</v>
      </c>
      <c r="D10" s="188" t="s">
        <v>5</v>
      </c>
      <c r="E10" s="188" t="s">
        <v>15</v>
      </c>
      <c r="F10" s="189"/>
      <c r="G10" s="190" t="s">
        <v>279</v>
      </c>
      <c r="H10" s="191">
        <f>H11+H12+H13+H16+H14+H20+H22+H24</f>
        <v>5000</v>
      </c>
      <c r="I10" s="192">
        <f>I11+I12+I13+I16+I14+I20+I22+I24</f>
        <v>39605.87363</v>
      </c>
      <c r="J10" s="193">
        <f>J11+J12+J13+J16+J14+J20+J22+J24</f>
        <v>0</v>
      </c>
      <c r="K10" s="205">
        <f>K11+K12+K13+K16+K14+K20+K22+K24</f>
        <v>39605.87363</v>
      </c>
    </row>
    <row r="11" spans="1:11" s="184" customFormat="1" ht="13.5" customHeight="1">
      <c r="A11" s="206" t="s">
        <v>276</v>
      </c>
      <c r="B11" s="207" t="s">
        <v>277</v>
      </c>
      <c r="C11" s="208" t="s">
        <v>5</v>
      </c>
      <c r="D11" s="209">
        <v>2229</v>
      </c>
      <c r="E11" s="210">
        <v>2119</v>
      </c>
      <c r="F11" s="211"/>
      <c r="G11" s="212" t="s">
        <v>280</v>
      </c>
      <c r="H11" s="213">
        <v>3000</v>
      </c>
      <c r="I11" s="213">
        <v>3000</v>
      </c>
      <c r="J11" s="214"/>
      <c r="K11" s="215">
        <f>I11+J11</f>
        <v>3000</v>
      </c>
    </row>
    <row r="12" spans="1:11" s="184" customFormat="1" ht="13.5" customHeight="1">
      <c r="A12" s="216" t="s">
        <v>276</v>
      </c>
      <c r="B12" s="207" t="s">
        <v>277</v>
      </c>
      <c r="C12" s="217">
        <v>1601</v>
      </c>
      <c r="D12" s="218">
        <v>2212</v>
      </c>
      <c r="E12" s="219">
        <v>2123</v>
      </c>
      <c r="F12" s="220"/>
      <c r="G12" s="115" t="s">
        <v>281</v>
      </c>
      <c r="H12" s="221">
        <v>0</v>
      </c>
      <c r="I12" s="222">
        <f>3537.7632+281.036+8604.967</f>
        <v>12423.7662</v>
      </c>
      <c r="J12" s="223"/>
      <c r="K12" s="123">
        <f>I12+J12</f>
        <v>12423.7662</v>
      </c>
    </row>
    <row r="13" spans="1:11" s="184" customFormat="1" ht="13.5" customHeight="1" thickBot="1">
      <c r="A13" s="224" t="s">
        <v>276</v>
      </c>
      <c r="B13" s="225" t="s">
        <v>277</v>
      </c>
      <c r="C13" s="226" t="s">
        <v>5</v>
      </c>
      <c r="D13" s="227">
        <v>2299</v>
      </c>
      <c r="E13" s="228">
        <v>2212</v>
      </c>
      <c r="F13" s="229"/>
      <c r="G13" s="230" t="s">
        <v>282</v>
      </c>
      <c r="H13" s="231">
        <v>2000</v>
      </c>
      <c r="I13" s="231">
        <f>2000+819.668+59</f>
        <v>2878.668</v>
      </c>
      <c r="J13" s="232"/>
      <c r="K13" s="233">
        <f>I13+J13</f>
        <v>2878.668</v>
      </c>
    </row>
    <row r="14" spans="1:11" s="184" customFormat="1" ht="13.5" customHeight="1">
      <c r="A14" s="234" t="s">
        <v>276</v>
      </c>
      <c r="B14" s="235" t="s">
        <v>7</v>
      </c>
      <c r="C14" s="236" t="s">
        <v>283</v>
      </c>
      <c r="D14" s="235" t="s">
        <v>5</v>
      </c>
      <c r="E14" s="237" t="s">
        <v>5</v>
      </c>
      <c r="F14" s="235" t="s">
        <v>5</v>
      </c>
      <c r="G14" s="238" t="s">
        <v>284</v>
      </c>
      <c r="H14" s="239">
        <f>SUM(H15:H15)</f>
        <v>0</v>
      </c>
      <c r="I14" s="239">
        <f>SUM(I15:I15)</f>
        <v>5000</v>
      </c>
      <c r="J14" s="239">
        <f>SUM(J15:J15)</f>
        <v>0</v>
      </c>
      <c r="K14" s="239">
        <f>SUM(K15:K15)</f>
        <v>5000</v>
      </c>
    </row>
    <row r="15" spans="1:11" s="184" customFormat="1" ht="13.5" customHeight="1" thickBot="1">
      <c r="A15" s="240"/>
      <c r="B15" s="241"/>
      <c r="C15" s="242"/>
      <c r="D15" s="243" t="s">
        <v>285</v>
      </c>
      <c r="E15" s="244">
        <v>2321</v>
      </c>
      <c r="F15" s="243"/>
      <c r="G15" s="245" t="s">
        <v>286</v>
      </c>
      <c r="H15" s="246">
        <v>0</v>
      </c>
      <c r="I15" s="246">
        <v>5000</v>
      </c>
      <c r="J15" s="247"/>
      <c r="K15" s="120">
        <f>I15+J15</f>
        <v>5000</v>
      </c>
    </row>
    <row r="16" spans="1:11" s="184" customFormat="1" ht="13.5" customHeight="1">
      <c r="A16" s="248" t="s">
        <v>276</v>
      </c>
      <c r="B16" s="249" t="s">
        <v>277</v>
      </c>
      <c r="C16" s="250" t="s">
        <v>5</v>
      </c>
      <c r="D16" s="235" t="s">
        <v>5</v>
      </c>
      <c r="E16" s="251">
        <v>2324</v>
      </c>
      <c r="F16" s="252" t="s">
        <v>5</v>
      </c>
      <c r="G16" s="253" t="s">
        <v>287</v>
      </c>
      <c r="H16" s="254">
        <f>SUM(H17:H19)</f>
        <v>0</v>
      </c>
      <c r="I16" s="254">
        <f>SUM(I17:I19)</f>
        <v>7902.164</v>
      </c>
      <c r="J16" s="254">
        <f>SUM(J17:J19)</f>
        <v>0</v>
      </c>
      <c r="K16" s="254">
        <f>SUM(K17:K19)</f>
        <v>7902.164</v>
      </c>
    </row>
    <row r="17" spans="1:11" s="184" customFormat="1" ht="13.5" customHeight="1">
      <c r="A17" s="216"/>
      <c r="B17" s="207"/>
      <c r="C17" s="114"/>
      <c r="D17" s="255">
        <v>2221</v>
      </c>
      <c r="E17" s="256"/>
      <c r="F17" s="257"/>
      <c r="G17" s="258" t="s">
        <v>288</v>
      </c>
      <c r="H17" s="259">
        <v>0</v>
      </c>
      <c r="I17" s="123">
        <f>975.327+461.579</f>
        <v>1436.906</v>
      </c>
      <c r="J17" s="123"/>
      <c r="K17" s="123">
        <f>I17+J17</f>
        <v>1436.906</v>
      </c>
    </row>
    <row r="18" spans="1:11" s="184" customFormat="1" ht="13.5" customHeight="1">
      <c r="A18" s="216"/>
      <c r="B18" s="207"/>
      <c r="C18" s="114"/>
      <c r="D18" s="255">
        <v>2242</v>
      </c>
      <c r="E18" s="256"/>
      <c r="F18" s="257"/>
      <c r="G18" s="258" t="s">
        <v>289</v>
      </c>
      <c r="H18" s="259">
        <v>0</v>
      </c>
      <c r="I18" s="123">
        <f>6299.258</f>
        <v>6299.258</v>
      </c>
      <c r="J18" s="123"/>
      <c r="K18" s="123">
        <f>I18+J18</f>
        <v>6299.258</v>
      </c>
    </row>
    <row r="19" spans="1:11" s="184" customFormat="1" ht="13.5" customHeight="1" thickBot="1">
      <c r="A19" s="260"/>
      <c r="B19" s="261"/>
      <c r="C19" s="138"/>
      <c r="D19" s="262">
        <v>2299</v>
      </c>
      <c r="E19" s="263"/>
      <c r="F19" s="264"/>
      <c r="G19" s="265" t="s">
        <v>290</v>
      </c>
      <c r="H19" s="266">
        <v>0</v>
      </c>
      <c r="I19" s="267">
        <f>158+8</f>
        <v>166</v>
      </c>
      <c r="J19" s="120"/>
      <c r="K19" s="120">
        <f>I19+J19</f>
        <v>166</v>
      </c>
    </row>
    <row r="20" spans="1:11" ht="12.75" customHeight="1">
      <c r="A20" s="268" t="s">
        <v>276</v>
      </c>
      <c r="B20" s="269" t="s">
        <v>7</v>
      </c>
      <c r="C20" s="270" t="s">
        <v>5</v>
      </c>
      <c r="D20" s="252" t="s">
        <v>5</v>
      </c>
      <c r="E20" s="252" t="s">
        <v>5</v>
      </c>
      <c r="F20" s="252" t="s">
        <v>5</v>
      </c>
      <c r="G20" s="271" t="s">
        <v>291</v>
      </c>
      <c r="H20" s="272">
        <f>SUM(H21:H21)</f>
        <v>0</v>
      </c>
      <c r="I20" s="272">
        <f>SUM(I21:I21)</f>
        <v>1759.10329</v>
      </c>
      <c r="J20" s="273">
        <f>SUM(J21:J21)</f>
        <v>0</v>
      </c>
      <c r="K20" s="272">
        <f>SUM(K21:K21)</f>
        <v>1759.10329</v>
      </c>
    </row>
    <row r="21" spans="1:11" ht="13.5" thickBot="1">
      <c r="A21" s="260"/>
      <c r="B21" s="274"/>
      <c r="C21" s="137"/>
      <c r="D21" s="138">
        <v>6402</v>
      </c>
      <c r="E21" s="138">
        <v>2324</v>
      </c>
      <c r="F21" s="275"/>
      <c r="G21" s="276" t="s">
        <v>287</v>
      </c>
      <c r="H21" s="120">
        <v>0</v>
      </c>
      <c r="I21" s="117">
        <v>1759.10329</v>
      </c>
      <c r="J21" s="277"/>
      <c r="K21" s="120">
        <f>I21+J21</f>
        <v>1759.10329</v>
      </c>
    </row>
    <row r="22" spans="1:11" ht="12.75" customHeight="1">
      <c r="A22" s="278" t="s">
        <v>276</v>
      </c>
      <c r="B22" s="269" t="s">
        <v>7</v>
      </c>
      <c r="C22" s="279" t="s">
        <v>5</v>
      </c>
      <c r="D22" s="252" t="s">
        <v>5</v>
      </c>
      <c r="E22" s="252" t="s">
        <v>5</v>
      </c>
      <c r="F22" s="252" t="s">
        <v>5</v>
      </c>
      <c r="G22" s="271" t="s">
        <v>292</v>
      </c>
      <c r="H22" s="272">
        <f>SUM(H23:H23)</f>
        <v>0</v>
      </c>
      <c r="I22" s="272">
        <f>SUM(I23:I23)</f>
        <v>5100</v>
      </c>
      <c r="J22" s="273">
        <f>SUM(J23:J23)</f>
        <v>0</v>
      </c>
      <c r="K22" s="272">
        <f>SUM(K23:K23)</f>
        <v>5100</v>
      </c>
    </row>
    <row r="23" spans="1:11" ht="13.5" thickBot="1">
      <c r="A23" s="260"/>
      <c r="B23" s="274"/>
      <c r="C23" s="137"/>
      <c r="D23" s="138">
        <v>2221</v>
      </c>
      <c r="E23" s="138">
        <v>2329</v>
      </c>
      <c r="F23" s="275"/>
      <c r="G23" s="276" t="s">
        <v>293</v>
      </c>
      <c r="H23" s="120">
        <v>0</v>
      </c>
      <c r="I23" s="277">
        <v>5100</v>
      </c>
      <c r="J23" s="277"/>
      <c r="K23" s="120">
        <f>I23+J23</f>
        <v>5100</v>
      </c>
    </row>
    <row r="24" spans="1:11" ht="12.75" customHeight="1">
      <c r="A24" s="268" t="s">
        <v>294</v>
      </c>
      <c r="B24" s="269" t="s">
        <v>7</v>
      </c>
      <c r="C24" s="270" t="s">
        <v>295</v>
      </c>
      <c r="D24" s="252" t="s">
        <v>5</v>
      </c>
      <c r="E24" s="252" t="s">
        <v>5</v>
      </c>
      <c r="F24" s="252" t="s">
        <v>5</v>
      </c>
      <c r="G24" s="271" t="s">
        <v>296</v>
      </c>
      <c r="H24" s="272">
        <f>SUM(H25:H25)</f>
        <v>0</v>
      </c>
      <c r="I24" s="272">
        <f>SUM(I25:I25)</f>
        <v>1542.17214</v>
      </c>
      <c r="J24" s="273">
        <f>SUM(J25:J25)</f>
        <v>0</v>
      </c>
      <c r="K24" s="272">
        <f>SUM(K25:K25)</f>
        <v>1542.17214</v>
      </c>
    </row>
    <row r="25" spans="1:11" ht="13.5" thickBot="1">
      <c r="A25" s="260"/>
      <c r="B25" s="274"/>
      <c r="C25" s="137"/>
      <c r="D25" s="138">
        <v>2212</v>
      </c>
      <c r="E25" s="138">
        <v>2329</v>
      </c>
      <c r="F25" s="275"/>
      <c r="G25" s="276" t="s">
        <v>293</v>
      </c>
      <c r="H25" s="120">
        <v>0</v>
      </c>
      <c r="I25" s="117">
        <v>1542.17214</v>
      </c>
      <c r="J25" s="277"/>
      <c r="K25" s="120">
        <f>I25+J25</f>
        <v>1542.17214</v>
      </c>
    </row>
    <row r="26" spans="1:11" s="184" customFormat="1" ht="13.5" customHeight="1" thickBot="1">
      <c r="A26" s="185" t="s">
        <v>5</v>
      </c>
      <c r="B26" s="186" t="s">
        <v>7</v>
      </c>
      <c r="C26" s="187" t="s">
        <v>5</v>
      </c>
      <c r="D26" s="188" t="s">
        <v>5</v>
      </c>
      <c r="E26" s="188" t="s">
        <v>17</v>
      </c>
      <c r="F26" s="189"/>
      <c r="G26" s="190" t="s">
        <v>297</v>
      </c>
      <c r="H26" s="191">
        <f>H27</f>
        <v>0</v>
      </c>
      <c r="I26" s="192">
        <f>I27</f>
        <v>0</v>
      </c>
      <c r="J26" s="192">
        <f>J27</f>
        <v>0</v>
      </c>
      <c r="K26" s="193">
        <f>K27</f>
        <v>0</v>
      </c>
    </row>
    <row r="27" spans="1:11" s="184" customFormat="1" ht="13.5" customHeight="1" thickBot="1">
      <c r="A27" s="280"/>
      <c r="B27" s="281"/>
      <c r="C27" s="282"/>
      <c r="D27" s="174"/>
      <c r="E27" s="174"/>
      <c r="F27" s="283"/>
      <c r="G27" s="284"/>
      <c r="H27" s="285"/>
      <c r="I27" s="203"/>
      <c r="J27" s="203"/>
      <c r="K27" s="286"/>
    </row>
    <row r="28" spans="1:11" s="184" customFormat="1" ht="13.5" customHeight="1" thickBot="1">
      <c r="A28" s="185" t="s">
        <v>5</v>
      </c>
      <c r="B28" s="186" t="s">
        <v>7</v>
      </c>
      <c r="C28" s="187" t="s">
        <v>5</v>
      </c>
      <c r="D28" s="188" t="s">
        <v>5</v>
      </c>
      <c r="E28" s="188" t="s">
        <v>298</v>
      </c>
      <c r="F28" s="189"/>
      <c r="G28" s="190" t="s">
        <v>299</v>
      </c>
      <c r="H28" s="191">
        <f>H29+H31+H33+H35+H37+H39+H41+H43+H44+H46+H48+H50</f>
        <v>24000</v>
      </c>
      <c r="I28" s="192">
        <f>I29+I31+I33+I35+I37+I39+I41+I43+I44+I46+I48+I50</f>
        <v>177211.04911999998</v>
      </c>
      <c r="J28" s="193">
        <f>J29+J31+J33+J35+J37+J39+J41+J43+J44+J46+J48+J50</f>
        <v>-101.15999999999985</v>
      </c>
      <c r="K28" s="205">
        <f>K29+K31+K33+K35+K37+K39+K41+K43+K44+K46+K48+K50</f>
        <v>177109.88912</v>
      </c>
    </row>
    <row r="29" spans="1:11" ht="22.5">
      <c r="A29" s="268" t="s">
        <v>276</v>
      </c>
      <c r="B29" s="269" t="s">
        <v>7</v>
      </c>
      <c r="C29" s="270" t="s">
        <v>5</v>
      </c>
      <c r="D29" s="252" t="s">
        <v>5</v>
      </c>
      <c r="E29" s="252" t="s">
        <v>5</v>
      </c>
      <c r="F29" s="252" t="s">
        <v>5</v>
      </c>
      <c r="G29" s="287" t="s">
        <v>300</v>
      </c>
      <c r="H29" s="288">
        <f>SUM(H30:H30)</f>
        <v>0</v>
      </c>
      <c r="I29" s="289">
        <f>SUM(I30:I30)</f>
        <v>20360.046479999997</v>
      </c>
      <c r="J29" s="289">
        <f>SUM(J30:J30)</f>
        <v>-101.15999999999985</v>
      </c>
      <c r="K29" s="272">
        <f>SUM(K30:K30)</f>
        <v>20258.886479999997</v>
      </c>
    </row>
    <row r="30" spans="1:11" ht="13.5" thickBot="1">
      <c r="A30" s="290"/>
      <c r="B30" s="291"/>
      <c r="C30" s="292"/>
      <c r="D30" s="293"/>
      <c r="E30" s="293">
        <v>4116</v>
      </c>
      <c r="F30" s="294" t="s">
        <v>301</v>
      </c>
      <c r="G30" s="295" t="s">
        <v>302</v>
      </c>
      <c r="H30" s="296">
        <v>0</v>
      </c>
      <c r="I30" s="297">
        <f>50371.58448+5919.861-1242.384-74.43-2632.8405-31981.7445</f>
        <v>20360.046479999997</v>
      </c>
      <c r="J30" s="298">
        <f>'2406'!I190</f>
        <v>-101.15999999999985</v>
      </c>
      <c r="K30" s="123">
        <f>I30+J30</f>
        <v>20258.886479999997</v>
      </c>
    </row>
    <row r="31" spans="1:11" ht="22.5">
      <c r="A31" s="268" t="s">
        <v>276</v>
      </c>
      <c r="B31" s="269" t="s">
        <v>7</v>
      </c>
      <c r="C31" s="270" t="s">
        <v>5</v>
      </c>
      <c r="D31" s="252" t="s">
        <v>5</v>
      </c>
      <c r="E31" s="252" t="s">
        <v>5</v>
      </c>
      <c r="F31" s="252" t="s">
        <v>5</v>
      </c>
      <c r="G31" s="287" t="s">
        <v>303</v>
      </c>
      <c r="H31" s="288">
        <f>SUM(H32:H32)</f>
        <v>0</v>
      </c>
      <c r="I31" s="289">
        <f>SUM(I32:I32)</f>
        <v>89623</v>
      </c>
      <c r="J31" s="289">
        <f>SUM(J32:J32)</f>
        <v>0</v>
      </c>
      <c r="K31" s="272">
        <f>SUM(K32:K32)</f>
        <v>89623</v>
      </c>
    </row>
    <row r="32" spans="1:11" ht="13.5" thickBot="1">
      <c r="A32" s="290"/>
      <c r="B32" s="291"/>
      <c r="C32" s="292"/>
      <c r="D32" s="293"/>
      <c r="E32" s="293">
        <v>4116</v>
      </c>
      <c r="F32" s="294" t="s">
        <v>304</v>
      </c>
      <c r="G32" s="295" t="s">
        <v>302</v>
      </c>
      <c r="H32" s="296">
        <v>0</v>
      </c>
      <c r="I32" s="299">
        <v>89623</v>
      </c>
      <c r="J32" s="298"/>
      <c r="K32" s="123">
        <f>I32+J32</f>
        <v>89623</v>
      </c>
    </row>
    <row r="33" spans="1:11" ht="12.75">
      <c r="A33" s="234" t="s">
        <v>276</v>
      </c>
      <c r="B33" s="250" t="s">
        <v>7</v>
      </c>
      <c r="C33" s="270" t="s">
        <v>5</v>
      </c>
      <c r="D33" s="250" t="s">
        <v>5</v>
      </c>
      <c r="E33" s="250" t="s">
        <v>5</v>
      </c>
      <c r="F33" s="252" t="s">
        <v>5</v>
      </c>
      <c r="G33" s="300" t="s">
        <v>305</v>
      </c>
      <c r="H33" s="301">
        <f>SUM(H34:H34)</f>
        <v>0</v>
      </c>
      <c r="I33" s="302">
        <f>SUM(I34:I34)</f>
        <v>38874.16305</v>
      </c>
      <c r="J33" s="289">
        <f>SUM(J34:J34)</f>
        <v>0</v>
      </c>
      <c r="K33" s="303">
        <f>SUM(K34:K34)</f>
        <v>38874.16305</v>
      </c>
    </row>
    <row r="34" spans="1:11" ht="13.5" thickBot="1">
      <c r="A34" s="224"/>
      <c r="B34" s="304"/>
      <c r="C34" s="305"/>
      <c r="D34" s="114"/>
      <c r="E34" s="114">
        <v>4118</v>
      </c>
      <c r="F34" s="306" t="s">
        <v>306</v>
      </c>
      <c r="G34" s="307" t="s">
        <v>307</v>
      </c>
      <c r="H34" s="125">
        <v>0</v>
      </c>
      <c r="I34" s="299">
        <v>38874.16305</v>
      </c>
      <c r="J34" s="308"/>
      <c r="K34" s="123">
        <f>I34+J34</f>
        <v>38874.16305</v>
      </c>
    </row>
    <row r="35" spans="1:11" ht="12.75">
      <c r="A35" s="234" t="s">
        <v>276</v>
      </c>
      <c r="B35" s="250" t="s">
        <v>7</v>
      </c>
      <c r="C35" s="309" t="s">
        <v>205</v>
      </c>
      <c r="D35" s="250" t="s">
        <v>5</v>
      </c>
      <c r="E35" s="250" t="s">
        <v>5</v>
      </c>
      <c r="F35" s="252" t="s">
        <v>5</v>
      </c>
      <c r="G35" s="300" t="s">
        <v>207</v>
      </c>
      <c r="H35" s="301">
        <f>SUM(H36:H36)</f>
        <v>0</v>
      </c>
      <c r="I35" s="302">
        <f>SUM(I36:I36)</f>
        <v>1373.804</v>
      </c>
      <c r="J35" s="289">
        <f>SUM(J36:J36)</f>
        <v>0</v>
      </c>
      <c r="K35" s="303">
        <f>SUM(K36:K36)</f>
        <v>1373.804</v>
      </c>
    </row>
    <row r="36" spans="1:11" ht="13.5" thickBot="1">
      <c r="A36" s="224"/>
      <c r="B36" s="304"/>
      <c r="C36" s="305"/>
      <c r="D36" s="114"/>
      <c r="E36" s="114">
        <v>4118</v>
      </c>
      <c r="F36" s="306" t="s">
        <v>306</v>
      </c>
      <c r="G36" s="307" t="s">
        <v>307</v>
      </c>
      <c r="H36" s="125">
        <v>0</v>
      </c>
      <c r="I36" s="119">
        <f>1373.804</f>
        <v>1373.804</v>
      </c>
      <c r="J36" s="299"/>
      <c r="K36" s="123">
        <f>I36+J36</f>
        <v>1373.804</v>
      </c>
    </row>
    <row r="37" spans="1:11" ht="12.75">
      <c r="A37" s="234" t="s">
        <v>276</v>
      </c>
      <c r="B37" s="250" t="s">
        <v>7</v>
      </c>
      <c r="C37" s="309" t="s">
        <v>208</v>
      </c>
      <c r="D37" s="250" t="s">
        <v>5</v>
      </c>
      <c r="E37" s="250" t="s">
        <v>5</v>
      </c>
      <c r="F37" s="252" t="s">
        <v>5</v>
      </c>
      <c r="G37" s="300" t="s">
        <v>209</v>
      </c>
      <c r="H37" s="301">
        <f>SUM(H38:H38)</f>
        <v>0</v>
      </c>
      <c r="I37" s="302">
        <f>SUM(I38:I38)</f>
        <v>1077.9</v>
      </c>
      <c r="J37" s="289">
        <f>SUM(J38:J38)</f>
        <v>0</v>
      </c>
      <c r="K37" s="303">
        <f>SUM(K38:K38)</f>
        <v>1077.9</v>
      </c>
    </row>
    <row r="38" spans="1:11" ht="13.5" thickBot="1">
      <c r="A38" s="224"/>
      <c r="B38" s="304"/>
      <c r="C38" s="305"/>
      <c r="D38" s="114"/>
      <c r="E38" s="114">
        <v>4118</v>
      </c>
      <c r="F38" s="306" t="s">
        <v>306</v>
      </c>
      <c r="G38" s="307" t="s">
        <v>307</v>
      </c>
      <c r="H38" s="125">
        <v>0</v>
      </c>
      <c r="I38" s="119">
        <f>1077.9</f>
        <v>1077.9</v>
      </c>
      <c r="J38" s="299"/>
      <c r="K38" s="123">
        <f>I38+J38</f>
        <v>1077.9</v>
      </c>
    </row>
    <row r="39" spans="1:11" ht="12.75">
      <c r="A39" s="234" t="s">
        <v>276</v>
      </c>
      <c r="B39" s="250" t="s">
        <v>7</v>
      </c>
      <c r="C39" s="309" t="s">
        <v>234</v>
      </c>
      <c r="D39" s="250" t="s">
        <v>5</v>
      </c>
      <c r="E39" s="250" t="s">
        <v>5</v>
      </c>
      <c r="F39" s="252" t="s">
        <v>5</v>
      </c>
      <c r="G39" s="300" t="s">
        <v>235</v>
      </c>
      <c r="H39" s="301">
        <f>SUM(H40:H40)</f>
        <v>0</v>
      </c>
      <c r="I39" s="302">
        <f>SUM(I40:I40)</f>
        <v>0</v>
      </c>
      <c r="J39" s="289">
        <f>SUM(J40:J40)</f>
        <v>0</v>
      </c>
      <c r="K39" s="303">
        <f>SUM(K40:K40)</f>
        <v>0</v>
      </c>
    </row>
    <row r="40" spans="1:11" ht="13.5" thickBot="1">
      <c r="A40" s="310"/>
      <c r="B40" s="140"/>
      <c r="C40" s="137"/>
      <c r="D40" s="138"/>
      <c r="E40" s="138">
        <v>4118</v>
      </c>
      <c r="F40" s="275" t="s">
        <v>306</v>
      </c>
      <c r="G40" s="307" t="s">
        <v>307</v>
      </c>
      <c r="H40" s="311">
        <v>0</v>
      </c>
      <c r="I40" s="312">
        <v>0</v>
      </c>
      <c r="J40" s="299"/>
      <c r="K40" s="120">
        <f>I40+J40</f>
        <v>0</v>
      </c>
    </row>
    <row r="41" spans="1:11" ht="12.75">
      <c r="A41" s="234" t="s">
        <v>294</v>
      </c>
      <c r="B41" s="250" t="s">
        <v>7</v>
      </c>
      <c r="C41" s="309" t="s">
        <v>308</v>
      </c>
      <c r="D41" s="250" t="s">
        <v>5</v>
      </c>
      <c r="E41" s="250" t="s">
        <v>5</v>
      </c>
      <c r="F41" s="252" t="s">
        <v>5</v>
      </c>
      <c r="G41" s="300" t="s">
        <v>309</v>
      </c>
      <c r="H41" s="301">
        <f>SUM(H42:H42)</f>
        <v>0</v>
      </c>
      <c r="I41" s="302">
        <f>SUM(I42:I42)</f>
        <v>158.92453</v>
      </c>
      <c r="J41" s="289">
        <f>SUM(J42:J42)</f>
        <v>0</v>
      </c>
      <c r="K41" s="303">
        <f>SUM(K42:K42)</f>
        <v>158.92453</v>
      </c>
    </row>
    <row r="42" spans="1:11" ht="13.5" thickBot="1">
      <c r="A42" s="310"/>
      <c r="B42" s="140"/>
      <c r="C42" s="137"/>
      <c r="D42" s="138"/>
      <c r="E42" s="138">
        <v>4118</v>
      </c>
      <c r="F42" s="275" t="s">
        <v>310</v>
      </c>
      <c r="G42" s="307" t="s">
        <v>307</v>
      </c>
      <c r="H42" s="311">
        <v>0</v>
      </c>
      <c r="I42" s="312">
        <v>158.92453</v>
      </c>
      <c r="J42" s="299"/>
      <c r="K42" s="120">
        <f>I42+J42</f>
        <v>158.92453</v>
      </c>
    </row>
    <row r="43" spans="1:11" s="184" customFormat="1" ht="13.5" customHeight="1" thickBot="1">
      <c r="A43" s="194" t="s">
        <v>276</v>
      </c>
      <c r="B43" s="313" t="s">
        <v>277</v>
      </c>
      <c r="C43" s="314" t="s">
        <v>5</v>
      </c>
      <c r="D43" s="315" t="s">
        <v>5</v>
      </c>
      <c r="E43" s="228">
        <v>4121</v>
      </c>
      <c r="F43" s="199"/>
      <c r="G43" s="316" t="s">
        <v>311</v>
      </c>
      <c r="H43" s="317">
        <v>24000</v>
      </c>
      <c r="I43" s="318">
        <f>24000+1106.87</f>
        <v>25106.87</v>
      </c>
      <c r="J43" s="203"/>
      <c r="K43" s="120">
        <f>I43+J43</f>
        <v>25106.87</v>
      </c>
    </row>
    <row r="44" spans="1:11" ht="12.75">
      <c r="A44" s="234" t="s">
        <v>294</v>
      </c>
      <c r="B44" s="250" t="s">
        <v>7</v>
      </c>
      <c r="C44" s="309" t="s">
        <v>312</v>
      </c>
      <c r="D44" s="250" t="s">
        <v>5</v>
      </c>
      <c r="E44" s="250" t="s">
        <v>5</v>
      </c>
      <c r="F44" s="252" t="s">
        <v>5</v>
      </c>
      <c r="G44" s="319" t="s">
        <v>313</v>
      </c>
      <c r="H44" s="303">
        <f>SUM(H45:H45)</f>
        <v>0</v>
      </c>
      <c r="I44" s="272">
        <f>SUM(I45:I45)</f>
        <v>30.6391</v>
      </c>
      <c r="J44" s="289">
        <f>SUM(J45:J45)</f>
        <v>0</v>
      </c>
      <c r="K44" s="303">
        <f>SUM(K45:K45)</f>
        <v>30.6391</v>
      </c>
    </row>
    <row r="45" spans="1:11" ht="13.5" thickBot="1">
      <c r="A45" s="310"/>
      <c r="B45" s="140"/>
      <c r="C45" s="137"/>
      <c r="D45" s="138"/>
      <c r="E45" s="138">
        <v>4123</v>
      </c>
      <c r="F45" s="320" t="s">
        <v>314</v>
      </c>
      <c r="G45" s="321" t="s">
        <v>315</v>
      </c>
      <c r="H45" s="117">
        <v>0</v>
      </c>
      <c r="I45" s="312">
        <v>30.6391</v>
      </c>
      <c r="J45" s="312"/>
      <c r="K45" s="120">
        <f>I45+J45</f>
        <v>30.6391</v>
      </c>
    </row>
    <row r="46" spans="1:11" ht="12.75">
      <c r="A46" s="234" t="s">
        <v>294</v>
      </c>
      <c r="B46" s="250" t="s">
        <v>7</v>
      </c>
      <c r="C46" s="309" t="s">
        <v>316</v>
      </c>
      <c r="D46" s="250" t="s">
        <v>5</v>
      </c>
      <c r="E46" s="250" t="s">
        <v>5</v>
      </c>
      <c r="F46" s="252" t="s">
        <v>5</v>
      </c>
      <c r="G46" s="322" t="s">
        <v>317</v>
      </c>
      <c r="H46" s="303">
        <f>SUM(H47:H47)</f>
        <v>0</v>
      </c>
      <c r="I46" s="272">
        <f>SUM(I47:I47)</f>
        <v>46.44315</v>
      </c>
      <c r="J46" s="289">
        <f>SUM(J47:J47)</f>
        <v>0</v>
      </c>
      <c r="K46" s="303">
        <f>SUM(K47:K47)</f>
        <v>46.44315</v>
      </c>
    </row>
    <row r="47" spans="1:11" ht="13.5" thickBot="1">
      <c r="A47" s="310"/>
      <c r="B47" s="140"/>
      <c r="C47" s="137"/>
      <c r="D47" s="138"/>
      <c r="E47" s="138">
        <v>4123</v>
      </c>
      <c r="F47" s="320" t="s">
        <v>314</v>
      </c>
      <c r="G47" s="321" t="s">
        <v>315</v>
      </c>
      <c r="H47" s="117">
        <v>0</v>
      </c>
      <c r="I47" s="312">
        <v>46.44315</v>
      </c>
      <c r="J47" s="312"/>
      <c r="K47" s="120">
        <f>I47+J47</f>
        <v>46.44315</v>
      </c>
    </row>
    <row r="48" spans="1:11" ht="12.75">
      <c r="A48" s="234" t="s">
        <v>294</v>
      </c>
      <c r="B48" s="250" t="s">
        <v>7</v>
      </c>
      <c r="C48" s="309" t="s">
        <v>318</v>
      </c>
      <c r="D48" s="250" t="s">
        <v>5</v>
      </c>
      <c r="E48" s="250" t="s">
        <v>5</v>
      </c>
      <c r="F48" s="252" t="s">
        <v>5</v>
      </c>
      <c r="G48" s="300" t="s">
        <v>319</v>
      </c>
      <c r="H48" s="301">
        <f>SUM(H49:H49)</f>
        <v>0</v>
      </c>
      <c r="I48" s="302">
        <f>SUM(I49:I49)</f>
        <v>319.56577</v>
      </c>
      <c r="J48" s="289">
        <f>SUM(J49:J49)</f>
        <v>0</v>
      </c>
      <c r="K48" s="303">
        <f>SUM(K49:K49)</f>
        <v>319.56577</v>
      </c>
    </row>
    <row r="49" spans="1:11" ht="13.5" thickBot="1">
      <c r="A49" s="310"/>
      <c r="B49" s="140"/>
      <c r="C49" s="137"/>
      <c r="D49" s="138"/>
      <c r="E49" s="138">
        <v>4152</v>
      </c>
      <c r="F49" s="275" t="s">
        <v>320</v>
      </c>
      <c r="G49" s="307" t="s">
        <v>321</v>
      </c>
      <c r="H49" s="311">
        <v>0</v>
      </c>
      <c r="I49" s="312">
        <v>319.56577</v>
      </c>
      <c r="J49" s="299"/>
      <c r="K49" s="120">
        <f>I49+J49</f>
        <v>319.56577</v>
      </c>
    </row>
    <row r="50" spans="1:11" ht="12.75">
      <c r="A50" s="234" t="s">
        <v>294</v>
      </c>
      <c r="B50" s="250" t="s">
        <v>7</v>
      </c>
      <c r="C50" s="309" t="s">
        <v>322</v>
      </c>
      <c r="D50" s="250" t="s">
        <v>5</v>
      </c>
      <c r="E50" s="250" t="s">
        <v>5</v>
      </c>
      <c r="F50" s="252" t="s">
        <v>5</v>
      </c>
      <c r="G50" s="300" t="s">
        <v>323</v>
      </c>
      <c r="H50" s="301">
        <f>SUM(H51:H51)</f>
        <v>0</v>
      </c>
      <c r="I50" s="302">
        <f>SUM(I51:I51)</f>
        <v>239.69304</v>
      </c>
      <c r="J50" s="272">
        <f>SUM(J51:J51)</f>
        <v>0</v>
      </c>
      <c r="K50" s="303">
        <f>SUM(K51:K51)</f>
        <v>239.69304</v>
      </c>
    </row>
    <row r="51" spans="1:11" ht="13.5" thickBot="1">
      <c r="A51" s="310"/>
      <c r="B51" s="140"/>
      <c r="C51" s="137"/>
      <c r="D51" s="138"/>
      <c r="E51" s="138">
        <v>4152</v>
      </c>
      <c r="F51" s="275" t="s">
        <v>320</v>
      </c>
      <c r="G51" s="307" t="s">
        <v>321</v>
      </c>
      <c r="H51" s="311">
        <v>0</v>
      </c>
      <c r="I51" s="117">
        <f>239.69304</f>
        <v>239.69304</v>
      </c>
      <c r="J51" s="117"/>
      <c r="K51" s="120">
        <f>I51+J51</f>
        <v>239.69304</v>
      </c>
    </row>
    <row r="52" spans="1:11" s="184" customFormat="1" ht="13.5" customHeight="1" thickBot="1">
      <c r="A52" s="185" t="s">
        <v>5</v>
      </c>
      <c r="B52" s="186" t="s">
        <v>7</v>
      </c>
      <c r="C52" s="187" t="s">
        <v>5</v>
      </c>
      <c r="D52" s="188" t="s">
        <v>5</v>
      </c>
      <c r="E52" s="188" t="s">
        <v>324</v>
      </c>
      <c r="F52" s="189"/>
      <c r="G52" s="190" t="s">
        <v>325</v>
      </c>
      <c r="H52" s="191">
        <f>H53+H55+H57+H59+H61+H63+H65+H67+H69</f>
        <v>0</v>
      </c>
      <c r="I52" s="192">
        <f>I53+I55+I57+I59+I61+I63+I65+I67+I69</f>
        <v>150293.52615974998</v>
      </c>
      <c r="J52" s="193">
        <f>J53+J55+J57+J59+J61+J63+J65+J67+J69</f>
        <v>-4138.0030000000015</v>
      </c>
      <c r="K52" s="205">
        <f>K53+K55+K57+K59+K61+K63+K65+K67+K69</f>
        <v>146155.52315974998</v>
      </c>
    </row>
    <row r="53" spans="1:11" ht="12.75" customHeight="1">
      <c r="A53" s="268" t="s">
        <v>276</v>
      </c>
      <c r="B53" s="269" t="s">
        <v>7</v>
      </c>
      <c r="C53" s="270" t="s">
        <v>5</v>
      </c>
      <c r="D53" s="252" t="s">
        <v>5</v>
      </c>
      <c r="E53" s="252" t="s">
        <v>5</v>
      </c>
      <c r="F53" s="252" t="s">
        <v>5</v>
      </c>
      <c r="G53" s="287" t="s">
        <v>326</v>
      </c>
      <c r="H53" s="288">
        <f>SUM(H54:H54)</f>
        <v>0</v>
      </c>
      <c r="I53" s="289">
        <f>SUM(I54:I54)</f>
        <v>134714.26269</v>
      </c>
      <c r="J53" s="289">
        <f>SUM(J54:J54)</f>
        <v>-4138.0030000000015</v>
      </c>
      <c r="K53" s="272">
        <f>SUM(K54:K54)</f>
        <v>130576.25969</v>
      </c>
    </row>
    <row r="54" spans="1:11" ht="13.5" thickBot="1">
      <c r="A54" s="290"/>
      <c r="B54" s="291"/>
      <c r="C54" s="292"/>
      <c r="D54" s="293"/>
      <c r="E54" s="293">
        <v>4216</v>
      </c>
      <c r="F54" s="294" t="s">
        <v>327</v>
      </c>
      <c r="G54" s="295" t="s">
        <v>328</v>
      </c>
      <c r="H54" s="296">
        <v>0</v>
      </c>
      <c r="I54" s="298">
        <f>66814.27219+31782+3019.999-3321.093+1551.03+3114.627-228.317+31981.7445</f>
        <v>134714.26269</v>
      </c>
      <c r="J54" s="298">
        <f>'2406'!I12+'2406'!I35+'2406'!I75+'2406'!I83+'2406'!I86+'2406'!I92+'2406'!I98+'2406'!I101+'2406'!I104+'2406'!I107+'2406'!I110+'2406'!I113+'2406'!I116+'2406'!I119+'2406'!I122+'2406'!I128+'2406'!I131+'2406'!I145+'2406'!I178+'2406'!I193+'2406'!I196+'2406'!I221</f>
        <v>-4138.0030000000015</v>
      </c>
      <c r="K54" s="123">
        <f>I54+J54</f>
        <v>130576.25969</v>
      </c>
    </row>
    <row r="55" spans="1:11" ht="12.75" customHeight="1">
      <c r="A55" s="268" t="s">
        <v>276</v>
      </c>
      <c r="B55" s="269" t="s">
        <v>7</v>
      </c>
      <c r="C55" s="270" t="s">
        <v>114</v>
      </c>
      <c r="D55" s="252" t="s">
        <v>5</v>
      </c>
      <c r="E55" s="252" t="s">
        <v>5</v>
      </c>
      <c r="F55" s="252" t="s">
        <v>5</v>
      </c>
      <c r="G55" s="287" t="s">
        <v>129</v>
      </c>
      <c r="H55" s="288">
        <f>SUM(H56:H56)</f>
        <v>0</v>
      </c>
      <c r="I55" s="289">
        <f>SUM(I56:I56)</f>
        <v>3489.346</v>
      </c>
      <c r="J55" s="289">
        <f>SUM(J56:J56)</f>
        <v>0</v>
      </c>
      <c r="K55" s="272">
        <f>SUM(K56:K56)</f>
        <v>3489.346</v>
      </c>
    </row>
    <row r="56" spans="1:11" ht="13.5" thickBot="1">
      <c r="A56" s="216"/>
      <c r="B56" s="323"/>
      <c r="C56" s="305"/>
      <c r="D56" s="114"/>
      <c r="E56" s="114">
        <v>4218</v>
      </c>
      <c r="F56" s="306" t="s">
        <v>329</v>
      </c>
      <c r="G56" s="307" t="s">
        <v>330</v>
      </c>
      <c r="H56" s="324">
        <v>0</v>
      </c>
      <c r="I56" s="111">
        <f>3489.346</f>
        <v>3489.346</v>
      </c>
      <c r="J56" s="299"/>
      <c r="K56" s="123">
        <f>I56+J56</f>
        <v>3489.346</v>
      </c>
    </row>
    <row r="57" spans="1:11" ht="12.75">
      <c r="A57" s="248" t="s">
        <v>276</v>
      </c>
      <c r="B57" s="325" t="s">
        <v>7</v>
      </c>
      <c r="C57" s="309" t="s">
        <v>116</v>
      </c>
      <c r="D57" s="250" t="s">
        <v>5</v>
      </c>
      <c r="E57" s="250" t="s">
        <v>5</v>
      </c>
      <c r="F57" s="252" t="s">
        <v>5</v>
      </c>
      <c r="G57" s="300" t="s">
        <v>130</v>
      </c>
      <c r="H57" s="301">
        <f>SUM(H58:H58)</f>
        <v>0</v>
      </c>
      <c r="I57" s="302">
        <f>SUM(I58:I58)</f>
        <v>6114.767</v>
      </c>
      <c r="J57" s="289">
        <f>SUM(J58:J58)</f>
        <v>0</v>
      </c>
      <c r="K57" s="303">
        <f>SUM(K58:K58)</f>
        <v>6114.767</v>
      </c>
    </row>
    <row r="58" spans="1:11" ht="13.5" thickBot="1">
      <c r="A58" s="216"/>
      <c r="B58" s="323"/>
      <c r="C58" s="305"/>
      <c r="D58" s="114"/>
      <c r="E58" s="114">
        <v>4218</v>
      </c>
      <c r="F58" s="306" t="s">
        <v>329</v>
      </c>
      <c r="G58" s="307" t="s">
        <v>330</v>
      </c>
      <c r="H58" s="324">
        <v>0</v>
      </c>
      <c r="I58" s="119">
        <f>6114.767</f>
        <v>6114.767</v>
      </c>
      <c r="J58" s="299"/>
      <c r="K58" s="123">
        <f>I58+J58</f>
        <v>6114.767</v>
      </c>
    </row>
    <row r="59" spans="1:11" ht="12.75">
      <c r="A59" s="234" t="s">
        <v>276</v>
      </c>
      <c r="B59" s="250" t="s">
        <v>7</v>
      </c>
      <c r="C59" s="309" t="s">
        <v>126</v>
      </c>
      <c r="D59" s="250" t="s">
        <v>5</v>
      </c>
      <c r="E59" s="250" t="s">
        <v>5</v>
      </c>
      <c r="F59" s="252" t="s">
        <v>5</v>
      </c>
      <c r="G59" s="300" t="s">
        <v>140</v>
      </c>
      <c r="H59" s="301">
        <f>SUM(H60:H60)</f>
        <v>0</v>
      </c>
      <c r="I59" s="302">
        <f>SUM(I60:I60)</f>
        <v>4218.824</v>
      </c>
      <c r="J59" s="289">
        <f>SUM(J60:J60)</f>
        <v>0</v>
      </c>
      <c r="K59" s="303">
        <f>SUM(K60:K60)</f>
        <v>4218.824</v>
      </c>
    </row>
    <row r="60" spans="1:11" ht="13.5" thickBot="1">
      <c r="A60" s="224"/>
      <c r="B60" s="304"/>
      <c r="C60" s="305"/>
      <c r="D60" s="114"/>
      <c r="E60" s="114">
        <v>4218</v>
      </c>
      <c r="F60" s="306" t="s">
        <v>329</v>
      </c>
      <c r="G60" s="307" t="s">
        <v>330</v>
      </c>
      <c r="H60" s="125">
        <v>0</v>
      </c>
      <c r="I60" s="119">
        <f>4218.824</f>
        <v>4218.824</v>
      </c>
      <c r="J60" s="299"/>
      <c r="K60" s="147">
        <f>I60+J60</f>
        <v>4218.824</v>
      </c>
    </row>
    <row r="61" spans="1:11" ht="12.75">
      <c r="A61" s="234" t="s">
        <v>276</v>
      </c>
      <c r="B61" s="250" t="s">
        <v>7</v>
      </c>
      <c r="C61" s="309" t="s">
        <v>127</v>
      </c>
      <c r="D61" s="250" t="s">
        <v>5</v>
      </c>
      <c r="E61" s="250" t="s">
        <v>5</v>
      </c>
      <c r="F61" s="252" t="s">
        <v>5</v>
      </c>
      <c r="G61" s="300" t="s">
        <v>141</v>
      </c>
      <c r="H61" s="301">
        <f>SUM(H62:H62)</f>
        <v>0</v>
      </c>
      <c r="I61" s="302">
        <f>SUM(I62:I62)</f>
        <v>0</v>
      </c>
      <c r="J61" s="289">
        <f>SUM(J62:J62)</f>
        <v>0</v>
      </c>
      <c r="K61" s="303">
        <f>SUM(K62:K62)</f>
        <v>0</v>
      </c>
    </row>
    <row r="62" spans="1:11" ht="13.5" thickBot="1">
      <c r="A62" s="224"/>
      <c r="B62" s="304"/>
      <c r="C62" s="305"/>
      <c r="D62" s="114"/>
      <c r="E62" s="114">
        <v>4218</v>
      </c>
      <c r="F62" s="306" t="s">
        <v>329</v>
      </c>
      <c r="G62" s="307" t="s">
        <v>330</v>
      </c>
      <c r="H62" s="125">
        <v>0</v>
      </c>
      <c r="I62" s="299">
        <v>0</v>
      </c>
      <c r="J62" s="299"/>
      <c r="K62" s="123">
        <f>I62+J62</f>
        <v>0</v>
      </c>
    </row>
    <row r="63" spans="1:11" ht="12.75">
      <c r="A63" s="234" t="s">
        <v>294</v>
      </c>
      <c r="B63" s="250" t="s">
        <v>7</v>
      </c>
      <c r="C63" s="309" t="s">
        <v>331</v>
      </c>
      <c r="D63" s="250" t="s">
        <v>5</v>
      </c>
      <c r="E63" s="250" t="s">
        <v>5</v>
      </c>
      <c r="F63" s="252" t="s">
        <v>5</v>
      </c>
      <c r="G63" s="300" t="s">
        <v>332</v>
      </c>
      <c r="H63" s="301">
        <f>SUM(H64:H64)</f>
        <v>0</v>
      </c>
      <c r="I63" s="272">
        <f>SUM(I64:I64)</f>
        <v>987.02</v>
      </c>
      <c r="J63" s="289">
        <f>SUM(J64:J64)</f>
        <v>0</v>
      </c>
      <c r="K63" s="303">
        <f>SUM(K64:K64)</f>
        <v>987.02</v>
      </c>
    </row>
    <row r="64" spans="1:11" ht="13.5" thickBot="1">
      <c r="A64" s="310"/>
      <c r="B64" s="140"/>
      <c r="C64" s="137"/>
      <c r="D64" s="138"/>
      <c r="E64" s="138">
        <v>4221</v>
      </c>
      <c r="F64" s="275"/>
      <c r="G64" s="307" t="s">
        <v>333</v>
      </c>
      <c r="H64" s="311">
        <v>0</v>
      </c>
      <c r="I64" s="117">
        <v>987.02</v>
      </c>
      <c r="J64" s="312"/>
      <c r="K64" s="120">
        <f>I64+J64</f>
        <v>987.02</v>
      </c>
    </row>
    <row r="65" spans="1:11" ht="12.75">
      <c r="A65" s="234" t="s">
        <v>294</v>
      </c>
      <c r="B65" s="250" t="s">
        <v>7</v>
      </c>
      <c r="C65" s="309" t="s">
        <v>312</v>
      </c>
      <c r="D65" s="250" t="s">
        <v>5</v>
      </c>
      <c r="E65" s="250" t="s">
        <v>5</v>
      </c>
      <c r="F65" s="252" t="s">
        <v>5</v>
      </c>
      <c r="G65" s="319" t="s">
        <v>313</v>
      </c>
      <c r="H65" s="303">
        <f>SUM(H66:H66)</f>
        <v>0</v>
      </c>
      <c r="I65" s="289">
        <f>SUM(I66:I66)</f>
        <v>62.24399</v>
      </c>
      <c r="J65" s="289">
        <f>SUM(J66:J66)</f>
        <v>0</v>
      </c>
      <c r="K65" s="303">
        <f>SUM(K66:K66)</f>
        <v>62.24399</v>
      </c>
    </row>
    <row r="66" spans="1:11" ht="13.5" thickBot="1">
      <c r="A66" s="310"/>
      <c r="B66" s="140"/>
      <c r="C66" s="137"/>
      <c r="D66" s="138"/>
      <c r="E66" s="138">
        <v>4223</v>
      </c>
      <c r="F66" s="320" t="s">
        <v>314</v>
      </c>
      <c r="G66" s="321" t="s">
        <v>334</v>
      </c>
      <c r="H66" s="117">
        <v>0</v>
      </c>
      <c r="I66" s="312">
        <v>62.24399</v>
      </c>
      <c r="J66" s="312"/>
      <c r="K66" s="120">
        <f>I66+J66</f>
        <v>62.24399</v>
      </c>
    </row>
    <row r="67" spans="1:11" ht="12.75">
      <c r="A67" s="234" t="s">
        <v>294</v>
      </c>
      <c r="B67" s="250" t="s">
        <v>7</v>
      </c>
      <c r="C67" s="309" t="s">
        <v>316</v>
      </c>
      <c r="D67" s="250" t="s">
        <v>5</v>
      </c>
      <c r="E67" s="250" t="s">
        <v>5</v>
      </c>
      <c r="F67" s="252" t="s">
        <v>5</v>
      </c>
      <c r="G67" s="322" t="s">
        <v>317</v>
      </c>
      <c r="H67" s="303">
        <f>SUM(H68:H68)</f>
        <v>0</v>
      </c>
      <c r="I67" s="289">
        <f>SUM(I68:I68)</f>
        <v>374.4243</v>
      </c>
      <c r="J67" s="289">
        <f>SUM(J68:J68)</f>
        <v>0</v>
      </c>
      <c r="K67" s="303">
        <f>SUM(K68:K68)</f>
        <v>374.4243</v>
      </c>
    </row>
    <row r="68" spans="1:11" ht="13.5" thickBot="1">
      <c r="A68" s="310"/>
      <c r="B68" s="140"/>
      <c r="C68" s="137"/>
      <c r="D68" s="138"/>
      <c r="E68" s="138">
        <v>4223</v>
      </c>
      <c r="F68" s="320" t="s">
        <v>314</v>
      </c>
      <c r="G68" s="321" t="s">
        <v>334</v>
      </c>
      <c r="H68" s="117">
        <v>0</v>
      </c>
      <c r="I68" s="312">
        <v>374.4243</v>
      </c>
      <c r="J68" s="312"/>
      <c r="K68" s="120">
        <f>I68+J68</f>
        <v>374.4243</v>
      </c>
    </row>
    <row r="69" spans="1:11" ht="12.75">
      <c r="A69" s="234" t="s">
        <v>294</v>
      </c>
      <c r="B69" s="250" t="s">
        <v>7</v>
      </c>
      <c r="C69" s="309" t="s">
        <v>335</v>
      </c>
      <c r="D69" s="250" t="s">
        <v>5</v>
      </c>
      <c r="E69" s="250" t="s">
        <v>5</v>
      </c>
      <c r="F69" s="252" t="s">
        <v>5</v>
      </c>
      <c r="G69" s="326" t="s">
        <v>336</v>
      </c>
      <c r="H69" s="303">
        <f>SUM(H70:H70)</f>
        <v>0</v>
      </c>
      <c r="I69" s="289">
        <f>SUM(I70:I70)</f>
        <v>332.63817975</v>
      </c>
      <c r="J69" s="289">
        <f>SUM(J70:J70)</f>
        <v>0</v>
      </c>
      <c r="K69" s="303">
        <f>SUM(K70:K70)</f>
        <v>332.63817975</v>
      </c>
    </row>
    <row r="70" spans="1:11" ht="13.5" thickBot="1">
      <c r="A70" s="310"/>
      <c r="B70" s="140"/>
      <c r="C70" s="137"/>
      <c r="D70" s="138"/>
      <c r="E70" s="138">
        <v>4232</v>
      </c>
      <c r="F70" s="320" t="s">
        <v>320</v>
      </c>
      <c r="G70" s="321" t="s">
        <v>337</v>
      </c>
      <c r="H70" s="117">
        <v>0</v>
      </c>
      <c r="I70" s="327">
        <f>13.26573*25.075</f>
        <v>332.63817975</v>
      </c>
      <c r="J70" s="328"/>
      <c r="K70" s="120">
        <f>I70+J70</f>
        <v>332.63817975</v>
      </c>
    </row>
  </sheetData>
  <mergeCells count="12"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85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M288"/>
  <sheetViews>
    <sheetView tabSelected="1" zoomScalePageLayoutView="0" workbookViewId="0" topLeftCell="A1">
      <pane xSplit="1" ySplit="7" topLeftCell="B2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43" sqref="F243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3.8515625" style="1" customWidth="1"/>
    <col min="7" max="7" width="8.421875" style="1" customWidth="1"/>
    <col min="8" max="8" width="9.57421875" style="1" customWidth="1"/>
    <col min="9" max="9" width="8.421875" style="1" customWidth="1"/>
    <col min="10" max="10" width="9.57421875" style="1" bestFit="1" customWidth="1"/>
    <col min="11" max="11" width="17.00390625" style="1" customWidth="1"/>
    <col min="12" max="12" width="13.57421875" style="70" customWidth="1"/>
    <col min="13" max="13" width="18.421875" style="1" customWidth="1"/>
    <col min="14" max="16384" width="9.140625" style="1" customWidth="1"/>
  </cols>
  <sheetData>
    <row r="1" spans="1:10" ht="18">
      <c r="A1" s="349" t="s">
        <v>70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2.7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350" t="s">
        <v>71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3" t="s">
        <v>3</v>
      </c>
    </row>
    <row r="5" spans="1:12" ht="12.75" customHeight="1" thickBot="1">
      <c r="A5" s="351" t="s">
        <v>4</v>
      </c>
      <c r="B5" s="351" t="s">
        <v>6</v>
      </c>
      <c r="C5" s="353" t="s">
        <v>8</v>
      </c>
      <c r="D5" s="353" t="s">
        <v>9</v>
      </c>
      <c r="E5" s="353" t="s">
        <v>10</v>
      </c>
      <c r="F5" s="355" t="s">
        <v>73</v>
      </c>
      <c r="G5" s="357" t="s">
        <v>92</v>
      </c>
      <c r="H5" s="365" t="s">
        <v>249</v>
      </c>
      <c r="I5" s="359" t="s">
        <v>262</v>
      </c>
      <c r="J5" s="360"/>
      <c r="L5" s="98"/>
    </row>
    <row r="6" spans="1:12" ht="12.75" customHeight="1" thickBot="1">
      <c r="A6" s="352"/>
      <c r="B6" s="352"/>
      <c r="C6" s="354"/>
      <c r="D6" s="354"/>
      <c r="E6" s="354"/>
      <c r="F6" s="356"/>
      <c r="G6" s="358"/>
      <c r="H6" s="366"/>
      <c r="I6" s="94" t="s">
        <v>28</v>
      </c>
      <c r="J6" s="95" t="s">
        <v>250</v>
      </c>
      <c r="L6" s="98"/>
    </row>
    <row r="7" spans="1:12" ht="12.75" customHeight="1" thickBot="1">
      <c r="A7" s="60">
        <v>924</v>
      </c>
      <c r="B7" s="45" t="s">
        <v>7</v>
      </c>
      <c r="C7" s="46" t="s">
        <v>8</v>
      </c>
      <c r="D7" s="46" t="s">
        <v>9</v>
      </c>
      <c r="E7" s="46" t="s">
        <v>10</v>
      </c>
      <c r="F7" s="47" t="s">
        <v>58</v>
      </c>
      <c r="G7" s="49">
        <f>G8+G10+G13+G17+G20+G23+G26+G29+G33+G36+G40+G42+G44+G46+G48+G50+G52+G54+G56+G58+G61+G65+G69+G73+G76+G79+G81+G84+G87+G90+G93+G96+G99+G102+G105+G108+G111+G114+G117+G120+G123+G126+G129+G132+G134+G137+G140+G143+G146+G148+G150+G152+G154+G156+G158+G160+G162+G164+G166+G168+G170+G172+G174+G176+G179+G183+G187+G191+G194+G197+G201+G203+G205+G207+G209+G211+G213+G215+G217+G219+G222+G224+G226+G228+G230+G232+G234+G236+G238+G240+G242</f>
        <v>0</v>
      </c>
      <c r="H7" s="49">
        <f>H8+H10+H13+H17+H20+H23+H26+H29+H33+H36+H40+H42+H44+H46+H48+H50+H52+H54+H56+H58+H61+H65+H69+H73+H76+H79+H81+H84+H87+H90+H93+H96+H99+H102+H105+H108+H111+H114+H117+H120+H123+H126+H129+H132+H134+H137+H140+H143+H146+H148+H150+H152+H154+H156+H158+H160+H162+H164+H166+H168+H170+H172+H174+H176+H179+H183+H187+H191+H194+H197+H201+H203+H205+H207+H209+H211+H213+H215+H217+H219+H222+H224+H226+H228+H230+H232+H234+H236+H238+H240+H242</f>
        <v>506938.5815500001</v>
      </c>
      <c r="I7" s="49">
        <f>I8+I10+I13+I17+I20+I23+I26+I29+I33+I36+I40+I42+I44+I46+I48+I50+I52+I54+I56+I58+I61+I65+I69+I73+I76+I79+I81+I84+I87+I90+I93+I96+I99+I102+I105+I108+I111+I114+I117+I120+I123+I126+I129+I132+I134+I137+I140+I143+I146+I148+I150+I152+I154+I156+I158+I160+I162+I164+I166+I168+I170+I172+I174+I176+I179+I183+I187+I191+I194+I197+I201+I203+I205+I207+I209+I211+I213+I215+I217+I219+I222+I224+I226+I228+I230+I232+I234+I236+I238+I240+I242</f>
        <v>-6453.518000000003</v>
      </c>
      <c r="J7" s="48">
        <f>J8+J10+J13+J17+J20+J23+J26+J29+J33+J36+J40+J42+J44+J46+J48+J50+J52+J54+J56+J58+J61+J65+J69+J73+J76+J79+J81+J84+J87+J90+J93+J96+J99+J102+J105+J108+J111+J114+J117+J120+J123+J126+J129+J132+J134+J137+J140+J143+J146+J148+J150+J152+J154+J156+J158+J160+J162+J164+J166+J168+J170+J172+J174+J176+J179+J183+J187+J191+J194+J197+J201+J203+J205+J207+J209+J211+J213+J215+J217+J219+J222+J224+J226+J228+J230+J232+J234+J236+J238+J240+J242</f>
        <v>500485.0635500002</v>
      </c>
      <c r="L7" s="98"/>
    </row>
    <row r="8" spans="1:10" ht="12.75" customHeight="1">
      <c r="A8" s="361" t="s">
        <v>29</v>
      </c>
      <c r="B8" s="62" t="s">
        <v>7</v>
      </c>
      <c r="C8" s="59" t="s">
        <v>147</v>
      </c>
      <c r="D8" s="51">
        <v>2212</v>
      </c>
      <c r="E8" s="51" t="s">
        <v>5</v>
      </c>
      <c r="F8" s="61" t="s">
        <v>148</v>
      </c>
      <c r="G8" s="50">
        <f>SUM(G9:G9)</f>
        <v>0</v>
      </c>
      <c r="H8" s="50">
        <f>SUM(H9:H9)</f>
        <v>108</v>
      </c>
      <c r="I8" s="50">
        <f>SUM(I9:I9)</f>
        <v>0</v>
      </c>
      <c r="J8" s="53">
        <f>SUM(J9:J9)</f>
        <v>108</v>
      </c>
    </row>
    <row r="9" spans="1:10" ht="13.5" thickBot="1">
      <c r="A9" s="362"/>
      <c r="B9" s="126"/>
      <c r="C9" s="82"/>
      <c r="D9" s="118"/>
      <c r="E9" s="122">
        <v>5169</v>
      </c>
      <c r="F9" s="127" t="s">
        <v>149</v>
      </c>
      <c r="G9" s="119">
        <v>0</v>
      </c>
      <c r="H9" s="119">
        <v>108</v>
      </c>
      <c r="I9" s="119"/>
      <c r="J9" s="120">
        <f>H9+I9</f>
        <v>108</v>
      </c>
    </row>
    <row r="10" spans="1:12" ht="12.75" customHeight="1">
      <c r="A10" s="362"/>
      <c r="B10" s="85" t="s">
        <v>7</v>
      </c>
      <c r="C10" s="72" t="s">
        <v>76</v>
      </c>
      <c r="D10" s="83">
        <v>2212</v>
      </c>
      <c r="E10" s="83" t="s">
        <v>5</v>
      </c>
      <c r="F10" s="84" t="s">
        <v>77</v>
      </c>
      <c r="G10" s="73">
        <f>SUM(G11:G12)</f>
        <v>0</v>
      </c>
      <c r="H10" s="73">
        <f>SUM(H11:H12)</f>
        <v>10900.447</v>
      </c>
      <c r="I10" s="73">
        <f>SUM(I11:I12)</f>
        <v>-0.47699999999986176</v>
      </c>
      <c r="J10" s="53">
        <f>SUM(J11:J12)</f>
        <v>10899.970000000001</v>
      </c>
      <c r="L10" s="98"/>
    </row>
    <row r="11" spans="1:12" ht="12.75" customHeight="1">
      <c r="A11" s="362"/>
      <c r="B11" s="89"/>
      <c r="C11" s="87"/>
      <c r="D11" s="88"/>
      <c r="E11" s="136">
        <v>6121</v>
      </c>
      <c r="F11" s="158" t="s">
        <v>59</v>
      </c>
      <c r="G11" s="159">
        <v>0</v>
      </c>
      <c r="H11" s="159">
        <f>297.6+10602.37/2</f>
        <v>5598.785000000001</v>
      </c>
      <c r="I11" s="159"/>
      <c r="J11" s="130">
        <f>H11+I11</f>
        <v>5598.785000000001</v>
      </c>
      <c r="L11" s="70"/>
    </row>
    <row r="12" spans="1:12" ht="12.75" customHeight="1" thickBot="1">
      <c r="A12" s="362"/>
      <c r="B12" s="126"/>
      <c r="C12" s="121" t="s">
        <v>95</v>
      </c>
      <c r="D12" s="118"/>
      <c r="E12" s="122">
        <v>6121</v>
      </c>
      <c r="F12" s="81" t="s">
        <v>59</v>
      </c>
      <c r="G12" s="119">
        <v>0</v>
      </c>
      <c r="H12" s="119">
        <f>5301.662</f>
        <v>5301.662</v>
      </c>
      <c r="I12" s="119">
        <f>-5301.662+10602.37/2</f>
        <v>-0.47699999999986176</v>
      </c>
      <c r="J12" s="120">
        <f>H12+I12</f>
        <v>5301.185</v>
      </c>
      <c r="L12" s="70"/>
    </row>
    <row r="13" spans="1:12" ht="12.75">
      <c r="A13" s="362"/>
      <c r="B13" s="63" t="s">
        <v>7</v>
      </c>
      <c r="C13" s="72" t="s">
        <v>78</v>
      </c>
      <c r="D13" s="51">
        <v>2212</v>
      </c>
      <c r="E13" s="99" t="s">
        <v>5</v>
      </c>
      <c r="F13" s="80" t="s">
        <v>79</v>
      </c>
      <c r="G13" s="73">
        <f>SUM(G14:G16)</f>
        <v>0</v>
      </c>
      <c r="H13" s="73">
        <f>SUM(H14:H16)</f>
        <v>12793.563</v>
      </c>
      <c r="I13" s="73">
        <f>SUM(I14:I16)</f>
        <v>0</v>
      </c>
      <c r="J13" s="53">
        <f>SUM(J14:J16)</f>
        <v>12793.563</v>
      </c>
      <c r="L13" s="70"/>
    </row>
    <row r="14" spans="1:12" ht="12.75">
      <c r="A14" s="362"/>
      <c r="B14" s="103"/>
      <c r="C14" s="87"/>
      <c r="D14" s="91"/>
      <c r="E14" s="114">
        <v>5169</v>
      </c>
      <c r="F14" s="115" t="s">
        <v>149</v>
      </c>
      <c r="G14" s="109">
        <v>0</v>
      </c>
      <c r="H14" s="109">
        <v>372</v>
      </c>
      <c r="I14" s="109"/>
      <c r="J14" s="130">
        <f>H14+I14</f>
        <v>372</v>
      </c>
      <c r="L14" s="70"/>
    </row>
    <row r="15" spans="1:10" ht="12.75">
      <c r="A15" s="362"/>
      <c r="B15" s="103"/>
      <c r="C15" s="90"/>
      <c r="D15" s="91"/>
      <c r="E15" s="114">
        <v>5171</v>
      </c>
      <c r="F15" s="131" t="s">
        <v>72</v>
      </c>
      <c r="G15" s="109">
        <v>0</v>
      </c>
      <c r="H15" s="109">
        <f>6447.632</f>
        <v>6447.632</v>
      </c>
      <c r="I15" s="123"/>
      <c r="J15" s="130">
        <f>H15+I15</f>
        <v>6447.632</v>
      </c>
    </row>
    <row r="16" spans="1:10" ht="12.75" customHeight="1" thickBot="1">
      <c r="A16" s="362"/>
      <c r="B16" s="135"/>
      <c r="C16" s="121" t="s">
        <v>74</v>
      </c>
      <c r="D16" s="58"/>
      <c r="E16" s="133">
        <v>5171</v>
      </c>
      <c r="F16" s="134" t="s">
        <v>72</v>
      </c>
      <c r="G16" s="111">
        <v>0</v>
      </c>
      <c r="H16" s="111">
        <f>6661.819+6447.631-7135.519</f>
        <v>5973.9310000000005</v>
      </c>
      <c r="I16" s="111"/>
      <c r="J16" s="123">
        <f>H16+I16</f>
        <v>5973.9310000000005</v>
      </c>
    </row>
    <row r="17" spans="1:10" ht="12.75">
      <c r="A17" s="362"/>
      <c r="B17" s="62" t="s">
        <v>7</v>
      </c>
      <c r="C17" s="72" t="s">
        <v>80</v>
      </c>
      <c r="D17" s="51">
        <v>2212</v>
      </c>
      <c r="E17" s="99" t="s">
        <v>5</v>
      </c>
      <c r="F17" s="80" t="s">
        <v>81</v>
      </c>
      <c r="G17" s="73">
        <f>SUM(G18:G19)</f>
        <v>0</v>
      </c>
      <c r="H17" s="73">
        <f>SUM(H18:H19)</f>
        <v>23975.249</v>
      </c>
      <c r="I17" s="73">
        <f>SUM(I18:I19)</f>
        <v>0</v>
      </c>
      <c r="J17" s="53">
        <f>SUM(J18:J19)</f>
        <v>23975.249</v>
      </c>
    </row>
    <row r="18" spans="1:10" ht="12.75">
      <c r="A18" s="362"/>
      <c r="B18" s="89"/>
      <c r="C18" s="87"/>
      <c r="D18" s="88"/>
      <c r="E18" s="136">
        <v>6121</v>
      </c>
      <c r="F18" s="158" t="s">
        <v>59</v>
      </c>
      <c r="G18" s="159">
        <v>0</v>
      </c>
      <c r="H18" s="123">
        <f>11769.525+436.2</f>
        <v>12205.725</v>
      </c>
      <c r="I18" s="159"/>
      <c r="J18" s="130">
        <f>H18+I18</f>
        <v>12205.725</v>
      </c>
    </row>
    <row r="19" spans="1:10" ht="13.5" thickBot="1">
      <c r="A19" s="362"/>
      <c r="B19" s="126"/>
      <c r="C19" s="121" t="s">
        <v>95</v>
      </c>
      <c r="D19" s="118"/>
      <c r="E19" s="122">
        <v>6121</v>
      </c>
      <c r="F19" s="81" t="s">
        <v>59</v>
      </c>
      <c r="G19" s="119">
        <v>0</v>
      </c>
      <c r="H19" s="116">
        <v>11769.524</v>
      </c>
      <c r="I19" s="119"/>
      <c r="J19" s="120">
        <f>H19+I19</f>
        <v>11769.524</v>
      </c>
    </row>
    <row r="20" spans="1:10" ht="12.75">
      <c r="A20" s="362"/>
      <c r="B20" s="62" t="s">
        <v>7</v>
      </c>
      <c r="C20" s="72" t="s">
        <v>82</v>
      </c>
      <c r="D20" s="51">
        <v>2212</v>
      </c>
      <c r="E20" s="99" t="s">
        <v>5</v>
      </c>
      <c r="F20" s="80" t="s">
        <v>83</v>
      </c>
      <c r="G20" s="73">
        <f>SUM(G21:G22)</f>
        <v>0</v>
      </c>
      <c r="H20" s="53">
        <f>SUM(H21:H22)</f>
        <v>19431.65</v>
      </c>
      <c r="I20" s="73">
        <f>SUM(I21:I22)</f>
        <v>0</v>
      </c>
      <c r="J20" s="53">
        <f>SUM(J21:J22)</f>
        <v>19431.65</v>
      </c>
    </row>
    <row r="21" spans="1:10" ht="12.75">
      <c r="A21" s="362"/>
      <c r="B21" s="89"/>
      <c r="C21" s="87"/>
      <c r="D21" s="88"/>
      <c r="E21" s="136">
        <v>6121</v>
      </c>
      <c r="F21" s="158" t="s">
        <v>59</v>
      </c>
      <c r="G21" s="159">
        <v>0</v>
      </c>
      <c r="H21" s="109">
        <f>9496.825+438</f>
        <v>9934.825</v>
      </c>
      <c r="I21" s="159"/>
      <c r="J21" s="130">
        <f>H21+I21</f>
        <v>9934.825</v>
      </c>
    </row>
    <row r="22" spans="1:10" ht="13.5" thickBot="1">
      <c r="A22" s="362"/>
      <c r="B22" s="126"/>
      <c r="C22" s="121" t="s">
        <v>95</v>
      </c>
      <c r="D22" s="118"/>
      <c r="E22" s="122">
        <v>6121</v>
      </c>
      <c r="F22" s="81" t="s">
        <v>59</v>
      </c>
      <c r="G22" s="119">
        <v>0</v>
      </c>
      <c r="H22" s="120">
        <f>9496.825</f>
        <v>9496.825</v>
      </c>
      <c r="I22" s="119"/>
      <c r="J22" s="120">
        <f>H22+I22</f>
        <v>9496.825</v>
      </c>
    </row>
    <row r="23" spans="1:10" ht="12.75">
      <c r="A23" s="362"/>
      <c r="B23" s="62" t="s">
        <v>7</v>
      </c>
      <c r="C23" s="72" t="s">
        <v>143</v>
      </c>
      <c r="D23" s="51">
        <v>2212</v>
      </c>
      <c r="E23" s="51" t="s">
        <v>5</v>
      </c>
      <c r="F23" s="61" t="s">
        <v>144</v>
      </c>
      <c r="G23" s="73">
        <f>SUM(G24:G25)</f>
        <v>0</v>
      </c>
      <c r="H23" s="73">
        <f>SUM(H24:H25)</f>
        <v>2229.15468</v>
      </c>
      <c r="I23" s="73">
        <f>SUM(I24:I25)</f>
        <v>0</v>
      </c>
      <c r="J23" s="53">
        <f>SUM(J24:J25)</f>
        <v>2229.15468</v>
      </c>
    </row>
    <row r="24" spans="1:10" ht="12.75">
      <c r="A24" s="362"/>
      <c r="B24" s="89"/>
      <c r="C24" s="87"/>
      <c r="D24" s="91"/>
      <c r="E24" s="128">
        <v>5169</v>
      </c>
      <c r="F24" s="129" t="s">
        <v>149</v>
      </c>
      <c r="G24" s="109">
        <v>0</v>
      </c>
      <c r="H24" s="109">
        <v>66</v>
      </c>
      <c r="I24" s="109"/>
      <c r="J24" s="130">
        <f>H24+I24</f>
        <v>66</v>
      </c>
    </row>
    <row r="25" spans="1:10" ht="13.5" thickBot="1">
      <c r="A25" s="362"/>
      <c r="B25" s="126"/>
      <c r="C25" s="137"/>
      <c r="D25" s="75"/>
      <c r="E25" s="122">
        <v>5171</v>
      </c>
      <c r="F25" s="127" t="s">
        <v>72</v>
      </c>
      <c r="G25" s="119">
        <v>0</v>
      </c>
      <c r="H25" s="119">
        <f>2679.10284-515.94816</f>
        <v>2163.15468</v>
      </c>
      <c r="I25" s="119"/>
      <c r="J25" s="120">
        <f>H25+I25</f>
        <v>2163.15468</v>
      </c>
    </row>
    <row r="26" spans="1:10" ht="12.75">
      <c r="A26" s="362"/>
      <c r="B26" s="62" t="s">
        <v>7</v>
      </c>
      <c r="C26" s="72" t="s">
        <v>84</v>
      </c>
      <c r="D26" s="51">
        <v>2212</v>
      </c>
      <c r="E26" s="51" t="s">
        <v>5</v>
      </c>
      <c r="F26" s="61" t="s">
        <v>85</v>
      </c>
      <c r="G26" s="73">
        <f>SUM(G27:G28)</f>
        <v>0</v>
      </c>
      <c r="H26" s="53">
        <f>SUM(H27:H28)</f>
        <v>7164.677</v>
      </c>
      <c r="I26" s="73">
        <f>SUM(I27:I28)</f>
        <v>0</v>
      </c>
      <c r="J26" s="53">
        <f>SUM(J27:J28)</f>
        <v>7164.677</v>
      </c>
    </row>
    <row r="27" spans="1:10" ht="12.75">
      <c r="A27" s="362"/>
      <c r="B27" s="89"/>
      <c r="C27" s="87"/>
      <c r="D27" s="88"/>
      <c r="E27" s="136">
        <v>6121</v>
      </c>
      <c r="F27" s="158" t="s">
        <v>59</v>
      </c>
      <c r="G27" s="159">
        <v>0</v>
      </c>
      <c r="H27" s="109">
        <f>3469.5385+225.6</f>
        <v>3695.1385</v>
      </c>
      <c r="I27" s="159"/>
      <c r="J27" s="130">
        <f>H27+I27</f>
        <v>3695.1385</v>
      </c>
    </row>
    <row r="28" spans="1:10" ht="13.5" thickBot="1">
      <c r="A28" s="362"/>
      <c r="B28" s="126"/>
      <c r="C28" s="121" t="s">
        <v>95</v>
      </c>
      <c r="D28" s="118"/>
      <c r="E28" s="122">
        <v>6121</v>
      </c>
      <c r="F28" s="81" t="s">
        <v>59</v>
      </c>
      <c r="G28" s="119">
        <v>0</v>
      </c>
      <c r="H28" s="120">
        <f>3469.5385</f>
        <v>3469.5385</v>
      </c>
      <c r="I28" s="119"/>
      <c r="J28" s="120">
        <f>H28+I28</f>
        <v>3469.5385</v>
      </c>
    </row>
    <row r="29" spans="1:10" ht="12.75">
      <c r="A29" s="362"/>
      <c r="B29" s="62" t="s">
        <v>7</v>
      </c>
      <c r="C29" s="59" t="s">
        <v>86</v>
      </c>
      <c r="D29" s="51">
        <v>2212</v>
      </c>
      <c r="E29" s="99" t="s">
        <v>5</v>
      </c>
      <c r="F29" s="102" t="s">
        <v>87</v>
      </c>
      <c r="G29" s="73">
        <f>SUM(G30:G32)</f>
        <v>0</v>
      </c>
      <c r="H29" s="73">
        <f>SUM(H30:H32)</f>
        <v>4944.494</v>
      </c>
      <c r="I29" s="73">
        <f>SUM(I30:I32)</f>
        <v>0</v>
      </c>
      <c r="J29" s="53">
        <f>SUM(J30:J32)</f>
        <v>4944.494</v>
      </c>
    </row>
    <row r="30" spans="1:10" ht="12.75">
      <c r="A30" s="362"/>
      <c r="B30" s="104"/>
      <c r="C30" s="87"/>
      <c r="D30" s="91"/>
      <c r="E30" s="114">
        <v>5169</v>
      </c>
      <c r="F30" s="115" t="s">
        <v>149</v>
      </c>
      <c r="G30" s="109">
        <v>0</v>
      </c>
      <c r="H30" s="109">
        <v>155.76</v>
      </c>
      <c r="I30" s="109"/>
      <c r="J30" s="130">
        <f>H30+I30</f>
        <v>155.76</v>
      </c>
    </row>
    <row r="31" spans="1:10" ht="12.75">
      <c r="A31" s="362"/>
      <c r="B31" s="103"/>
      <c r="C31" s="90"/>
      <c r="D31" s="91"/>
      <c r="E31" s="114">
        <v>5171</v>
      </c>
      <c r="F31" s="131" t="s">
        <v>72</v>
      </c>
      <c r="G31" s="109">
        <v>0</v>
      </c>
      <c r="H31" s="109">
        <f>3204.247</f>
        <v>3204.247</v>
      </c>
      <c r="I31" s="123"/>
      <c r="J31" s="130">
        <f>H31+I31</f>
        <v>3204.247</v>
      </c>
    </row>
    <row r="32" spans="1:10" ht="13.5" thickBot="1">
      <c r="A32" s="362"/>
      <c r="B32" s="74"/>
      <c r="C32" s="121" t="s">
        <v>74</v>
      </c>
      <c r="D32" s="64"/>
      <c r="E32" s="140">
        <v>5171</v>
      </c>
      <c r="F32" s="141" t="s">
        <v>72</v>
      </c>
      <c r="G32" s="111">
        <v>0</v>
      </c>
      <c r="H32" s="111">
        <f>1608.013+3204.247-3227.773</f>
        <v>1584.487</v>
      </c>
      <c r="I32" s="111"/>
      <c r="J32" s="120">
        <f>H32+I32</f>
        <v>1584.487</v>
      </c>
    </row>
    <row r="33" spans="1:10" ht="12.75">
      <c r="A33" s="362"/>
      <c r="B33" s="62" t="s">
        <v>7</v>
      </c>
      <c r="C33" s="72" t="s">
        <v>88</v>
      </c>
      <c r="D33" s="51">
        <v>2212</v>
      </c>
      <c r="E33" s="99" t="s">
        <v>5</v>
      </c>
      <c r="F33" s="80" t="s">
        <v>89</v>
      </c>
      <c r="G33" s="73">
        <f>SUM(G34:G35)</f>
        <v>0</v>
      </c>
      <c r="H33" s="73">
        <f>SUM(H34:H35)</f>
        <v>4020.3909999999996</v>
      </c>
      <c r="I33" s="73">
        <f>SUM(I34:I35)</f>
        <v>0.001</v>
      </c>
      <c r="J33" s="53">
        <f>SUM(J34:J35)</f>
        <v>4020.392</v>
      </c>
    </row>
    <row r="34" spans="1:10" ht="12.75">
      <c r="A34" s="362"/>
      <c r="B34" s="89"/>
      <c r="C34" s="87"/>
      <c r="D34" s="88"/>
      <c r="E34" s="136">
        <v>6121</v>
      </c>
      <c r="F34" s="158" t="s">
        <v>59</v>
      </c>
      <c r="G34" s="159">
        <v>0</v>
      </c>
      <c r="H34" s="109">
        <f>1944.196+132</f>
        <v>2076.196</v>
      </c>
      <c r="I34" s="159"/>
      <c r="J34" s="130">
        <f>H34+I34</f>
        <v>2076.196</v>
      </c>
    </row>
    <row r="35" spans="1:10" ht="13.5" thickBot="1">
      <c r="A35" s="362"/>
      <c r="B35" s="126"/>
      <c r="C35" s="121" t="s">
        <v>95</v>
      </c>
      <c r="D35" s="118"/>
      <c r="E35" s="122">
        <v>6121</v>
      </c>
      <c r="F35" s="81" t="s">
        <v>59</v>
      </c>
      <c r="G35" s="119">
        <v>0</v>
      </c>
      <c r="H35" s="120">
        <f>1944.195</f>
        <v>1944.195</v>
      </c>
      <c r="I35" s="119">
        <v>0.001</v>
      </c>
      <c r="J35" s="120">
        <f>H35+I35</f>
        <v>1944.196</v>
      </c>
    </row>
    <row r="36" spans="1:10" ht="12.75">
      <c r="A36" s="362"/>
      <c r="B36" s="62" t="s">
        <v>7</v>
      </c>
      <c r="C36" s="59" t="s">
        <v>90</v>
      </c>
      <c r="D36" s="51">
        <v>2212</v>
      </c>
      <c r="E36" s="99" t="s">
        <v>5</v>
      </c>
      <c r="F36" s="102" t="s">
        <v>91</v>
      </c>
      <c r="G36" s="73">
        <f>SUM(G37:G39)</f>
        <v>0</v>
      </c>
      <c r="H36" s="73">
        <f>SUM(H37:H39)</f>
        <v>5017.996</v>
      </c>
      <c r="I36" s="73">
        <f>SUM(I37:I39)</f>
        <v>0</v>
      </c>
      <c r="J36" s="53">
        <f>SUM(J37:J39)</f>
        <v>5017.996</v>
      </c>
    </row>
    <row r="37" spans="1:10" ht="12.75">
      <c r="A37" s="362"/>
      <c r="B37" s="104"/>
      <c r="C37" s="87"/>
      <c r="D37" s="91"/>
      <c r="E37" s="114">
        <v>5169</v>
      </c>
      <c r="F37" s="115" t="s">
        <v>149</v>
      </c>
      <c r="G37" s="109">
        <v>0</v>
      </c>
      <c r="H37" s="109">
        <v>154.2</v>
      </c>
      <c r="I37" s="109"/>
      <c r="J37" s="130">
        <f>H37+I37</f>
        <v>154.2</v>
      </c>
    </row>
    <row r="38" spans="1:10" ht="12.75">
      <c r="A38" s="362"/>
      <c r="B38" s="103"/>
      <c r="C38" s="90"/>
      <c r="D38" s="91"/>
      <c r="E38" s="114">
        <v>5171</v>
      </c>
      <c r="F38" s="131" t="s">
        <v>72</v>
      </c>
      <c r="G38" s="109">
        <v>0</v>
      </c>
      <c r="H38" s="109">
        <f>3205.478</f>
        <v>3205.478</v>
      </c>
      <c r="I38" s="109"/>
      <c r="J38" s="130">
        <f>H38+I38</f>
        <v>3205.478</v>
      </c>
    </row>
    <row r="39" spans="1:10" ht="13.5" thickBot="1">
      <c r="A39" s="362"/>
      <c r="B39" s="74"/>
      <c r="C39" s="121" t="s">
        <v>74</v>
      </c>
      <c r="D39" s="64"/>
      <c r="E39" s="142">
        <v>5171</v>
      </c>
      <c r="F39" s="143" t="s">
        <v>72</v>
      </c>
      <c r="G39" s="111">
        <v>0</v>
      </c>
      <c r="H39" s="111">
        <f>3205.478-1547.16</f>
        <v>1658.318</v>
      </c>
      <c r="I39" s="111"/>
      <c r="J39" s="120">
        <f>H39+I39</f>
        <v>1658.318</v>
      </c>
    </row>
    <row r="40" spans="1:10" ht="12.75">
      <c r="A40" s="362"/>
      <c r="B40" s="62" t="s">
        <v>7</v>
      </c>
      <c r="C40" s="59" t="s">
        <v>150</v>
      </c>
      <c r="D40" s="51">
        <v>2212</v>
      </c>
      <c r="E40" s="51" t="s">
        <v>5</v>
      </c>
      <c r="F40" s="61" t="s">
        <v>151</v>
      </c>
      <c r="G40" s="50">
        <f>SUM(G41:G41)</f>
        <v>0</v>
      </c>
      <c r="H40" s="50">
        <f>SUM(H41:H41)</f>
        <v>3616.269</v>
      </c>
      <c r="I40" s="50">
        <f>SUM(I41:I41)</f>
        <v>0</v>
      </c>
      <c r="J40" s="53">
        <f>SUM(J41:J41)</f>
        <v>3616.269</v>
      </c>
    </row>
    <row r="41" spans="1:11" ht="13.5" thickBot="1">
      <c r="A41" s="362"/>
      <c r="B41" s="144"/>
      <c r="C41" s="92"/>
      <c r="D41" s="145"/>
      <c r="E41" s="146">
        <v>6121</v>
      </c>
      <c r="F41" s="76" t="s">
        <v>59</v>
      </c>
      <c r="G41" s="116">
        <v>0</v>
      </c>
      <c r="H41" s="116">
        <f>3472.269+144</f>
        <v>3616.269</v>
      </c>
      <c r="I41" s="116"/>
      <c r="J41" s="120">
        <f>H41+I41</f>
        <v>3616.269</v>
      </c>
      <c r="K41" s="101"/>
    </row>
    <row r="42" spans="1:10" ht="12.75">
      <c r="A42" s="362"/>
      <c r="B42" s="62" t="s">
        <v>7</v>
      </c>
      <c r="C42" s="59" t="s">
        <v>152</v>
      </c>
      <c r="D42" s="51">
        <v>2212</v>
      </c>
      <c r="E42" s="51" t="s">
        <v>5</v>
      </c>
      <c r="F42" s="61" t="s">
        <v>153</v>
      </c>
      <c r="G42" s="50">
        <f>SUM(G43:G43)</f>
        <v>0</v>
      </c>
      <c r="H42" s="50">
        <f>SUM(H43:H43)</f>
        <v>7409.757</v>
      </c>
      <c r="I42" s="50">
        <f>SUM(I43:I43)</f>
        <v>0</v>
      </c>
      <c r="J42" s="53">
        <f>SUM(J43:J43)</f>
        <v>7409.757</v>
      </c>
    </row>
    <row r="43" spans="1:11" ht="13.5" thickBot="1">
      <c r="A43" s="362"/>
      <c r="B43" s="126"/>
      <c r="C43" s="82"/>
      <c r="D43" s="118"/>
      <c r="E43" s="122">
        <v>6121</v>
      </c>
      <c r="F43" s="77" t="s">
        <v>59</v>
      </c>
      <c r="G43" s="119">
        <v>0</v>
      </c>
      <c r="H43" s="119">
        <f>7127.757+282</f>
        <v>7409.757</v>
      </c>
      <c r="I43" s="119"/>
      <c r="J43" s="120">
        <f>H43+I43</f>
        <v>7409.757</v>
      </c>
      <c r="K43" s="101"/>
    </row>
    <row r="44" spans="1:11" ht="22.5">
      <c r="A44" s="362"/>
      <c r="B44" s="62" t="s">
        <v>7</v>
      </c>
      <c r="C44" s="59" t="s">
        <v>154</v>
      </c>
      <c r="D44" s="51">
        <v>2212</v>
      </c>
      <c r="E44" s="51" t="s">
        <v>5</v>
      </c>
      <c r="F44" s="61" t="s">
        <v>155</v>
      </c>
      <c r="G44" s="50">
        <f>SUM(G45:G45)</f>
        <v>0</v>
      </c>
      <c r="H44" s="50">
        <f>SUM(H45:H45)</f>
        <v>8895.936</v>
      </c>
      <c r="I44" s="50">
        <f>SUM(I45:I45)</f>
        <v>0</v>
      </c>
      <c r="J44" s="53">
        <f>SUM(J45:J45)</f>
        <v>8895.936</v>
      </c>
      <c r="K44" s="101"/>
    </row>
    <row r="45" spans="1:11" ht="13.5" thickBot="1">
      <c r="A45" s="362"/>
      <c r="B45" s="144"/>
      <c r="C45" s="92"/>
      <c r="D45" s="145"/>
      <c r="E45" s="146">
        <v>6121</v>
      </c>
      <c r="F45" s="76" t="s">
        <v>59</v>
      </c>
      <c r="G45" s="119">
        <v>0</v>
      </c>
      <c r="H45" s="119">
        <f>8595.936+300</f>
        <v>8895.936</v>
      </c>
      <c r="I45" s="119"/>
      <c r="J45" s="120">
        <f>H45+I45</f>
        <v>8895.936</v>
      </c>
      <c r="K45" s="101"/>
    </row>
    <row r="46" spans="1:11" ht="12.75">
      <c r="A46" s="362"/>
      <c r="B46" s="62" t="s">
        <v>7</v>
      </c>
      <c r="C46" s="59" t="s">
        <v>156</v>
      </c>
      <c r="D46" s="51">
        <v>2212</v>
      </c>
      <c r="E46" s="51" t="s">
        <v>5</v>
      </c>
      <c r="F46" s="61" t="s">
        <v>157</v>
      </c>
      <c r="G46" s="73">
        <f>SUM(G47:G47)</f>
        <v>0</v>
      </c>
      <c r="H46" s="73">
        <f>SUM(H47:H47)</f>
        <v>6192.498</v>
      </c>
      <c r="I46" s="73">
        <f>SUM(I47:I47)</f>
        <v>0</v>
      </c>
      <c r="J46" s="53">
        <f>SUM(J47:J47)</f>
        <v>6192.498</v>
      </c>
      <c r="K46" s="101"/>
    </row>
    <row r="47" spans="1:11" ht="13.5" thickBot="1">
      <c r="A47" s="362"/>
      <c r="B47" s="126"/>
      <c r="C47" s="82"/>
      <c r="D47" s="118"/>
      <c r="E47" s="122">
        <v>6121</v>
      </c>
      <c r="F47" s="77" t="s">
        <v>59</v>
      </c>
      <c r="G47" s="116">
        <v>0</v>
      </c>
      <c r="H47" s="119">
        <f>5995.097+148.8+18+30.601</f>
        <v>6192.498</v>
      </c>
      <c r="I47" s="116"/>
      <c r="J47" s="120">
        <f>H47+I47</f>
        <v>6192.498</v>
      </c>
      <c r="K47" s="101"/>
    </row>
    <row r="48" spans="1:11" ht="12.75">
      <c r="A48" s="362"/>
      <c r="B48" s="62" t="s">
        <v>7</v>
      </c>
      <c r="C48" s="59" t="s">
        <v>158</v>
      </c>
      <c r="D48" s="51">
        <v>2212</v>
      </c>
      <c r="E48" s="51" t="s">
        <v>5</v>
      </c>
      <c r="F48" s="52" t="s">
        <v>159</v>
      </c>
      <c r="G48" s="50">
        <f>SUM(G49:G49)</f>
        <v>0</v>
      </c>
      <c r="H48" s="50">
        <f>SUM(H49:H49)</f>
        <v>4939.81</v>
      </c>
      <c r="I48" s="50">
        <f>SUM(I49:I49)</f>
        <v>0</v>
      </c>
      <c r="J48" s="53">
        <f>SUM(J49:J49)</f>
        <v>4939.81</v>
      </c>
      <c r="K48" s="101"/>
    </row>
    <row r="49" spans="1:11" ht="13.5" thickBot="1">
      <c r="A49" s="362"/>
      <c r="B49" s="144"/>
      <c r="C49" s="92"/>
      <c r="D49" s="145"/>
      <c r="E49" s="146">
        <v>6121</v>
      </c>
      <c r="F49" s="76" t="s">
        <v>59</v>
      </c>
      <c r="G49" s="119">
        <v>0</v>
      </c>
      <c r="H49" s="119">
        <f>4777.08+124.8+18+19.93</f>
        <v>4939.81</v>
      </c>
      <c r="I49" s="119"/>
      <c r="J49" s="120">
        <f>H49+I49</f>
        <v>4939.81</v>
      </c>
      <c r="K49" s="101"/>
    </row>
    <row r="50" spans="1:11" ht="12.75">
      <c r="A50" s="362"/>
      <c r="B50" s="62" t="s">
        <v>7</v>
      </c>
      <c r="C50" s="59" t="s">
        <v>160</v>
      </c>
      <c r="D50" s="51">
        <v>2212</v>
      </c>
      <c r="E50" s="51" t="s">
        <v>5</v>
      </c>
      <c r="F50" s="61" t="s">
        <v>161</v>
      </c>
      <c r="G50" s="73">
        <f>SUM(G51:G51)</f>
        <v>0</v>
      </c>
      <c r="H50" s="73">
        <f>SUM(H51:H51)</f>
        <v>3418.3430000000003</v>
      </c>
      <c r="I50" s="73">
        <f>SUM(I51:I51)</f>
        <v>0</v>
      </c>
      <c r="J50" s="53">
        <f>SUM(J51:J51)</f>
        <v>3418.3430000000003</v>
      </c>
      <c r="K50" s="101"/>
    </row>
    <row r="51" spans="1:11" ht="13.5" thickBot="1">
      <c r="A51" s="362"/>
      <c r="B51" s="126"/>
      <c r="C51" s="82"/>
      <c r="D51" s="118"/>
      <c r="E51" s="122">
        <v>6121</v>
      </c>
      <c r="F51" s="77" t="s">
        <v>59</v>
      </c>
      <c r="G51" s="116">
        <v>0</v>
      </c>
      <c r="H51" s="116">
        <f>3293.099+98.4+18+8.844</f>
        <v>3418.3430000000003</v>
      </c>
      <c r="I51" s="116"/>
      <c r="J51" s="120">
        <f>H51+I51</f>
        <v>3418.3430000000003</v>
      </c>
      <c r="K51" s="101"/>
    </row>
    <row r="52" spans="1:11" ht="12.75">
      <c r="A52" s="362"/>
      <c r="B52" s="62" t="s">
        <v>7</v>
      </c>
      <c r="C52" s="59" t="s">
        <v>162</v>
      </c>
      <c r="D52" s="51">
        <v>2212</v>
      </c>
      <c r="E52" s="51" t="s">
        <v>5</v>
      </c>
      <c r="F52" s="52" t="s">
        <v>163</v>
      </c>
      <c r="G52" s="50">
        <f>SUM(G53:G53)</f>
        <v>0</v>
      </c>
      <c r="H52" s="50">
        <f>SUM(H53:H53)</f>
        <v>7003.698</v>
      </c>
      <c r="I52" s="50">
        <f>SUM(I53:I53)</f>
        <v>0</v>
      </c>
      <c r="J52" s="53">
        <f>SUM(J53:J53)</f>
        <v>7003.698</v>
      </c>
      <c r="K52" s="101"/>
    </row>
    <row r="53" spans="1:11" ht="13.5" thickBot="1">
      <c r="A53" s="362"/>
      <c r="B53" s="126"/>
      <c r="C53" s="82"/>
      <c r="D53" s="118"/>
      <c r="E53" s="122">
        <v>6121</v>
      </c>
      <c r="F53" s="77" t="s">
        <v>59</v>
      </c>
      <c r="G53" s="119">
        <v>0</v>
      </c>
      <c r="H53" s="116">
        <f>6782.822+165.6+18+37.276</f>
        <v>7003.698</v>
      </c>
      <c r="I53" s="119"/>
      <c r="J53" s="120">
        <f>H53+I53</f>
        <v>7003.698</v>
      </c>
      <c r="K53" s="101"/>
    </row>
    <row r="54" spans="1:11" ht="12.75">
      <c r="A54" s="362"/>
      <c r="B54" s="62" t="s">
        <v>7</v>
      </c>
      <c r="C54" s="59" t="s">
        <v>164</v>
      </c>
      <c r="D54" s="51">
        <v>2212</v>
      </c>
      <c r="E54" s="51" t="s">
        <v>5</v>
      </c>
      <c r="F54" s="52" t="s">
        <v>165</v>
      </c>
      <c r="G54" s="50">
        <f>SUM(G55:G55)</f>
        <v>0</v>
      </c>
      <c r="H54" s="50">
        <f>SUM(H55:H55)</f>
        <v>4305.433</v>
      </c>
      <c r="I54" s="50">
        <f>SUM(I55:I55)</f>
        <v>0</v>
      </c>
      <c r="J54" s="53">
        <f>SUM(J55:J55)</f>
        <v>4305.433</v>
      </c>
      <c r="K54" s="101"/>
    </row>
    <row r="55" spans="1:11" ht="13.5" thickBot="1">
      <c r="A55" s="362"/>
      <c r="B55" s="126"/>
      <c r="C55" s="82"/>
      <c r="D55" s="118"/>
      <c r="E55" s="122">
        <v>6121</v>
      </c>
      <c r="F55" s="77" t="s">
        <v>59</v>
      </c>
      <c r="G55" s="119">
        <v>0</v>
      </c>
      <c r="H55" s="119">
        <f>79.35+4076.083+102+18+30</f>
        <v>4305.433</v>
      </c>
      <c r="I55" s="119"/>
      <c r="J55" s="120">
        <f>H55+I55</f>
        <v>4305.433</v>
      </c>
      <c r="K55" s="101"/>
    </row>
    <row r="56" spans="1:11" ht="12.75">
      <c r="A56" s="362"/>
      <c r="B56" s="62" t="s">
        <v>7</v>
      </c>
      <c r="C56" s="59" t="s">
        <v>145</v>
      </c>
      <c r="D56" s="51">
        <v>2212</v>
      </c>
      <c r="E56" s="51" t="s">
        <v>5</v>
      </c>
      <c r="F56" s="52" t="s">
        <v>146</v>
      </c>
      <c r="G56" s="50">
        <f>SUM(G57:G57)</f>
        <v>0</v>
      </c>
      <c r="H56" s="50">
        <f>SUM(H57:H57)</f>
        <v>1478.4</v>
      </c>
      <c r="I56" s="50">
        <f>SUM(I57:I57)</f>
        <v>0</v>
      </c>
      <c r="J56" s="53">
        <f>SUM(J57:J57)</f>
        <v>1478.4</v>
      </c>
      <c r="K56" s="101"/>
    </row>
    <row r="57" spans="1:10" ht="13.5" thickBot="1">
      <c r="A57" s="362"/>
      <c r="B57" s="126"/>
      <c r="C57" s="82"/>
      <c r="D57" s="118"/>
      <c r="E57" s="122">
        <v>6121</v>
      </c>
      <c r="F57" s="77" t="s">
        <v>59</v>
      </c>
      <c r="G57" s="119">
        <v>0</v>
      </c>
      <c r="H57" s="119">
        <f>1699.2-(112.8+112.8+112.8)+98*1.2</f>
        <v>1478.4</v>
      </c>
      <c r="I57" s="119"/>
      <c r="J57" s="120">
        <f>H57+I57</f>
        <v>1478.4</v>
      </c>
    </row>
    <row r="58" spans="1:11" ht="12.75">
      <c r="A58" s="362"/>
      <c r="B58" s="62" t="s">
        <v>7</v>
      </c>
      <c r="C58" s="59" t="s">
        <v>93</v>
      </c>
      <c r="D58" s="51">
        <v>2212</v>
      </c>
      <c r="E58" s="51" t="s">
        <v>5</v>
      </c>
      <c r="F58" s="61" t="s">
        <v>94</v>
      </c>
      <c r="G58" s="50">
        <f>SUM(G59:G60)</f>
        <v>0</v>
      </c>
      <c r="H58" s="50">
        <f>SUM(H59:H60)</f>
        <v>2818.1410800000003</v>
      </c>
      <c r="I58" s="50">
        <f>SUM(I59:I60)</f>
        <v>0</v>
      </c>
      <c r="J58" s="53">
        <f>SUM(J59:J60)</f>
        <v>2818.1410800000003</v>
      </c>
      <c r="K58" s="101"/>
    </row>
    <row r="59" spans="1:11" ht="12.75">
      <c r="A59" s="362"/>
      <c r="B59" s="89"/>
      <c r="C59" s="87"/>
      <c r="D59" s="88"/>
      <c r="E59" s="128">
        <v>6121</v>
      </c>
      <c r="F59" s="93" t="s">
        <v>59</v>
      </c>
      <c r="G59" s="109">
        <v>0</v>
      </c>
      <c r="H59" s="110">
        <f>1521.545+96+18+30</f>
        <v>1665.545</v>
      </c>
      <c r="I59" s="109"/>
      <c r="J59" s="123">
        <f>H59+I59</f>
        <v>1665.545</v>
      </c>
      <c r="K59" s="101"/>
    </row>
    <row r="60" spans="1:11" ht="13.5" thickBot="1">
      <c r="A60" s="362"/>
      <c r="B60" s="126"/>
      <c r="C60" s="121" t="s">
        <v>95</v>
      </c>
      <c r="D60" s="118"/>
      <c r="E60" s="122">
        <v>6121</v>
      </c>
      <c r="F60" s="81" t="s">
        <v>59</v>
      </c>
      <c r="G60" s="119">
        <v>0</v>
      </c>
      <c r="H60" s="119">
        <f>1521.544-368.94792</f>
        <v>1152.59608</v>
      </c>
      <c r="I60" s="119"/>
      <c r="J60" s="120">
        <f>H60+I60</f>
        <v>1152.59608</v>
      </c>
      <c r="K60" s="101"/>
    </row>
    <row r="61" spans="1:11" ht="12.75">
      <c r="A61" s="362"/>
      <c r="B61" s="62" t="s">
        <v>7</v>
      </c>
      <c r="C61" s="59" t="s">
        <v>96</v>
      </c>
      <c r="D61" s="51">
        <v>2212</v>
      </c>
      <c r="E61" s="51" t="s">
        <v>5</v>
      </c>
      <c r="F61" s="61" t="s">
        <v>97</v>
      </c>
      <c r="G61" s="50">
        <f>SUM(G62:G64)</f>
        <v>0</v>
      </c>
      <c r="H61" s="73">
        <f>SUM(H62:H64)</f>
        <v>8325.33966</v>
      </c>
      <c r="I61" s="50">
        <f>SUM(I62:I64)</f>
        <v>0</v>
      </c>
      <c r="J61" s="53">
        <f>SUM(J62:J64)</f>
        <v>8325.33966</v>
      </c>
      <c r="K61" s="101"/>
    </row>
    <row r="62" spans="1:11" ht="12.75">
      <c r="A62" s="362"/>
      <c r="B62" s="152"/>
      <c r="C62" s="72"/>
      <c r="D62" s="83"/>
      <c r="E62" s="128">
        <v>5169</v>
      </c>
      <c r="F62" s="129" t="s">
        <v>149</v>
      </c>
      <c r="G62" s="109">
        <v>0</v>
      </c>
      <c r="H62" s="109">
        <v>288</v>
      </c>
      <c r="I62" s="109"/>
      <c r="J62" s="130">
        <f>H62+I62</f>
        <v>288</v>
      </c>
      <c r="K62" s="101"/>
    </row>
    <row r="63" spans="1:11" ht="12.75">
      <c r="A63" s="362"/>
      <c r="B63" s="103"/>
      <c r="C63" s="90"/>
      <c r="D63" s="91"/>
      <c r="E63" s="114">
        <v>5171</v>
      </c>
      <c r="F63" s="131" t="s">
        <v>72</v>
      </c>
      <c r="G63" s="109">
        <v>0</v>
      </c>
      <c r="H63" s="109">
        <f>4168.884</f>
        <v>4168.884</v>
      </c>
      <c r="I63" s="109"/>
      <c r="J63" s="130">
        <f>H63+I63</f>
        <v>4168.884</v>
      </c>
      <c r="K63" s="101"/>
    </row>
    <row r="64" spans="1:11" ht="13.5" thickBot="1">
      <c r="A64" s="362"/>
      <c r="B64" s="126"/>
      <c r="C64" s="121" t="s">
        <v>74</v>
      </c>
      <c r="D64" s="118"/>
      <c r="E64" s="138">
        <v>5171</v>
      </c>
      <c r="F64" s="139" t="s">
        <v>72</v>
      </c>
      <c r="G64" s="119">
        <v>0</v>
      </c>
      <c r="H64" s="119">
        <f>4168.884-300.42834</f>
        <v>3868.45566</v>
      </c>
      <c r="I64" s="119"/>
      <c r="J64" s="120">
        <f>H64+I64</f>
        <v>3868.45566</v>
      </c>
      <c r="K64" s="101"/>
    </row>
    <row r="65" spans="1:11" ht="12.75">
      <c r="A65" s="362"/>
      <c r="B65" s="62" t="s">
        <v>7</v>
      </c>
      <c r="C65" s="59" t="s">
        <v>98</v>
      </c>
      <c r="D65" s="51">
        <v>2212</v>
      </c>
      <c r="E65" s="99" t="s">
        <v>5</v>
      </c>
      <c r="F65" s="102" t="s">
        <v>99</v>
      </c>
      <c r="G65" s="50">
        <f>SUM(G66:G68)</f>
        <v>0</v>
      </c>
      <c r="H65" s="50">
        <f>SUM(H66:H68)</f>
        <v>5373.937</v>
      </c>
      <c r="I65" s="50">
        <f>SUM(I66:I68)</f>
        <v>156.928</v>
      </c>
      <c r="J65" s="53">
        <f>SUM(J66:J68)</f>
        <v>5530.865</v>
      </c>
      <c r="K65" s="101"/>
    </row>
    <row r="66" spans="1:11" ht="12.75">
      <c r="A66" s="362"/>
      <c r="B66" s="89"/>
      <c r="C66" s="87"/>
      <c r="D66" s="88"/>
      <c r="E66" s="114">
        <v>5169</v>
      </c>
      <c r="F66" s="115" t="s">
        <v>149</v>
      </c>
      <c r="G66" s="109">
        <v>0</v>
      </c>
      <c r="H66" s="109">
        <v>180</v>
      </c>
      <c r="I66" s="109"/>
      <c r="J66" s="130">
        <f>H66+I66</f>
        <v>180</v>
      </c>
      <c r="K66" s="101"/>
    </row>
    <row r="67" spans="1:11" ht="12.75">
      <c r="A67" s="362"/>
      <c r="B67" s="103"/>
      <c r="C67" s="90"/>
      <c r="D67" s="91"/>
      <c r="E67" s="114">
        <v>5171</v>
      </c>
      <c r="F67" s="131" t="s">
        <v>72</v>
      </c>
      <c r="G67" s="109">
        <v>0</v>
      </c>
      <c r="H67" s="109">
        <f>2621.269</f>
        <v>2621.269</v>
      </c>
      <c r="I67" s="109">
        <v>156.928</v>
      </c>
      <c r="J67" s="130">
        <f>H67+I67</f>
        <v>2778.1969999999997</v>
      </c>
      <c r="K67" s="101"/>
    </row>
    <row r="68" spans="1:11" ht="13.5" thickBot="1">
      <c r="A68" s="362"/>
      <c r="B68" s="126"/>
      <c r="C68" s="121" t="s">
        <v>74</v>
      </c>
      <c r="D68" s="118"/>
      <c r="E68" s="138">
        <v>5171</v>
      </c>
      <c r="F68" s="139" t="s">
        <v>72</v>
      </c>
      <c r="G68" s="119">
        <v>0</v>
      </c>
      <c r="H68" s="119">
        <f>2621.268-48.6</f>
        <v>2572.668</v>
      </c>
      <c r="I68" s="119"/>
      <c r="J68" s="120">
        <f>H68+I68</f>
        <v>2572.668</v>
      </c>
      <c r="K68" s="101"/>
    </row>
    <row r="69" spans="1:11" ht="12.75">
      <c r="A69" s="362"/>
      <c r="B69" s="62" t="s">
        <v>7</v>
      </c>
      <c r="C69" s="59" t="s">
        <v>100</v>
      </c>
      <c r="D69" s="51">
        <v>2212</v>
      </c>
      <c r="E69" s="99" t="s">
        <v>5</v>
      </c>
      <c r="F69" s="80" t="s">
        <v>101</v>
      </c>
      <c r="G69" s="50">
        <f>SUM(G70:G72)</f>
        <v>0</v>
      </c>
      <c r="H69" s="50">
        <f>SUM(H70:H72)</f>
        <v>1396.59482</v>
      </c>
      <c r="I69" s="50">
        <f>SUM(I70:I72)</f>
        <v>0</v>
      </c>
      <c r="J69" s="53">
        <f>SUM(J70:J72)</f>
        <v>1396.59482</v>
      </c>
      <c r="K69" s="101"/>
    </row>
    <row r="70" spans="1:10" ht="12.75">
      <c r="A70" s="362"/>
      <c r="B70" s="89"/>
      <c r="C70" s="87"/>
      <c r="D70" s="88"/>
      <c r="E70" s="114">
        <v>5169</v>
      </c>
      <c r="F70" s="115" t="s">
        <v>149</v>
      </c>
      <c r="G70" s="109">
        <v>0</v>
      </c>
      <c r="H70" s="109">
        <v>144</v>
      </c>
      <c r="I70" s="109"/>
      <c r="J70" s="130">
        <f>H70+I70</f>
        <v>144</v>
      </c>
    </row>
    <row r="71" spans="1:10" ht="12.75">
      <c r="A71" s="362"/>
      <c r="B71" s="103"/>
      <c r="C71" s="90"/>
      <c r="D71" s="91"/>
      <c r="E71" s="114">
        <v>5171</v>
      </c>
      <c r="F71" s="131" t="s">
        <v>72</v>
      </c>
      <c r="G71" s="109">
        <v>0</v>
      </c>
      <c r="H71" s="109">
        <f>1153.455</f>
        <v>1153.455</v>
      </c>
      <c r="I71" s="123"/>
      <c r="J71" s="130">
        <f>H71+I71</f>
        <v>1153.455</v>
      </c>
    </row>
    <row r="72" spans="1:10" ht="13.5" thickBot="1">
      <c r="A72" s="362"/>
      <c r="B72" s="126"/>
      <c r="C72" s="121" t="s">
        <v>74</v>
      </c>
      <c r="D72" s="118"/>
      <c r="E72" s="122">
        <v>5171</v>
      </c>
      <c r="F72" s="143" t="s">
        <v>72</v>
      </c>
      <c r="G72" s="116">
        <v>0</v>
      </c>
      <c r="H72" s="116">
        <f>1153.454-(275.79696+407.93778+370.57944)</f>
        <v>99.1398200000001</v>
      </c>
      <c r="I72" s="117"/>
      <c r="J72" s="147">
        <f>H72+I72</f>
        <v>99.1398200000001</v>
      </c>
    </row>
    <row r="73" spans="1:11" ht="12.75">
      <c r="A73" s="362"/>
      <c r="B73" s="62" t="s">
        <v>7</v>
      </c>
      <c r="C73" s="59" t="s">
        <v>102</v>
      </c>
      <c r="D73" s="51">
        <v>2212</v>
      </c>
      <c r="E73" s="51" t="s">
        <v>5</v>
      </c>
      <c r="F73" s="52" t="s">
        <v>103</v>
      </c>
      <c r="G73" s="50">
        <f>SUM(G74:G75)</f>
        <v>0</v>
      </c>
      <c r="H73" s="50">
        <f>SUM(H74:H75)</f>
        <v>1625.7334</v>
      </c>
      <c r="I73" s="73">
        <f>SUM(I74:I75)</f>
        <v>0.001</v>
      </c>
      <c r="J73" s="53">
        <f>SUM(J74:J75)</f>
        <v>1625.7344000000003</v>
      </c>
      <c r="K73" s="101"/>
    </row>
    <row r="74" spans="1:11" ht="12.75">
      <c r="A74" s="362"/>
      <c r="B74" s="89"/>
      <c r="C74" s="87"/>
      <c r="D74" s="88"/>
      <c r="E74" s="128">
        <v>6121</v>
      </c>
      <c r="F74" s="93" t="s">
        <v>59</v>
      </c>
      <c r="G74" s="109">
        <v>0</v>
      </c>
      <c r="H74" s="110">
        <f>1195.678+126</f>
        <v>1321.678</v>
      </c>
      <c r="I74" s="109"/>
      <c r="J74" s="123">
        <f>H74+I74</f>
        <v>1321.678</v>
      </c>
      <c r="K74" s="101"/>
    </row>
    <row r="75" spans="1:11" ht="13.5" thickBot="1">
      <c r="A75" s="362"/>
      <c r="B75" s="126"/>
      <c r="C75" s="121" t="s">
        <v>95</v>
      </c>
      <c r="D75" s="118"/>
      <c r="E75" s="122">
        <v>6121</v>
      </c>
      <c r="F75" s="77" t="s">
        <v>59</v>
      </c>
      <c r="G75" s="119">
        <v>0</v>
      </c>
      <c r="H75" s="119">
        <f>1248.8+1195.678-1248.801-(405.3012+250.6788+235.6416)</f>
        <v>304.0554000000001</v>
      </c>
      <c r="I75" s="120">
        <v>0.001</v>
      </c>
      <c r="J75" s="120">
        <f>H75+I75</f>
        <v>304.05640000000005</v>
      </c>
      <c r="K75" s="101"/>
    </row>
    <row r="76" spans="1:11" ht="12.75">
      <c r="A76" s="362"/>
      <c r="B76" s="62" t="s">
        <v>7</v>
      </c>
      <c r="C76" s="59" t="s">
        <v>104</v>
      </c>
      <c r="D76" s="51">
        <v>2212</v>
      </c>
      <c r="E76" s="51" t="s">
        <v>5</v>
      </c>
      <c r="F76" s="52" t="s">
        <v>105</v>
      </c>
      <c r="G76" s="73">
        <f>SUM(G77:G78)</f>
        <v>0</v>
      </c>
      <c r="H76" s="73">
        <f>SUM(H77:H78)</f>
        <v>4996.3767100000005</v>
      </c>
      <c r="I76" s="73">
        <f>SUM(I77:I78)</f>
        <v>0</v>
      </c>
      <c r="J76" s="53">
        <f>SUM(J77:J78)</f>
        <v>4996.3767100000005</v>
      </c>
      <c r="K76" s="101"/>
    </row>
    <row r="77" spans="1:11" ht="12.75">
      <c r="A77" s="362"/>
      <c r="B77" s="89"/>
      <c r="C77" s="87"/>
      <c r="D77" s="88"/>
      <c r="E77" s="128">
        <v>6121</v>
      </c>
      <c r="F77" s="93" t="s">
        <v>59</v>
      </c>
      <c r="G77" s="109">
        <v>0</v>
      </c>
      <c r="H77" s="110">
        <f>3511.312+258</f>
        <v>3769.312</v>
      </c>
      <c r="I77" s="109"/>
      <c r="J77" s="123">
        <f>H77+I77</f>
        <v>3769.312</v>
      </c>
      <c r="K77" s="101"/>
    </row>
    <row r="78" spans="1:10" ht="13.5" thickBot="1">
      <c r="A78" s="362"/>
      <c r="B78" s="126"/>
      <c r="C78" s="121" t="s">
        <v>95</v>
      </c>
      <c r="D78" s="118"/>
      <c r="E78" s="122">
        <v>6121</v>
      </c>
      <c r="F78" s="77" t="s">
        <v>59</v>
      </c>
      <c r="G78" s="119">
        <v>0</v>
      </c>
      <c r="H78" s="119">
        <f>3511.312-(1635.24985+648.99744)</f>
        <v>1227.06471</v>
      </c>
      <c r="I78" s="119"/>
      <c r="J78" s="120">
        <f>H78+I78</f>
        <v>1227.06471</v>
      </c>
    </row>
    <row r="79" spans="1:10" ht="12.75">
      <c r="A79" s="362"/>
      <c r="B79" s="62" t="s">
        <v>7</v>
      </c>
      <c r="C79" s="59" t="s">
        <v>106</v>
      </c>
      <c r="D79" s="51">
        <v>2212</v>
      </c>
      <c r="E79" s="51" t="s">
        <v>5</v>
      </c>
      <c r="F79" s="52" t="s">
        <v>107</v>
      </c>
      <c r="G79" s="50">
        <f>SUM(G80:G80)</f>
        <v>0</v>
      </c>
      <c r="H79" s="50">
        <f>SUM(H80:H80)</f>
        <v>3537.7632</v>
      </c>
      <c r="I79" s="50">
        <f>SUM(I80:I80)</f>
        <v>0</v>
      </c>
      <c r="J79" s="53">
        <f>SUM(J80:J80)</f>
        <v>3537.7632</v>
      </c>
    </row>
    <row r="80" spans="1:10" ht="13.5" thickBot="1">
      <c r="A80" s="362"/>
      <c r="B80" s="126"/>
      <c r="C80" s="137"/>
      <c r="D80" s="118"/>
      <c r="E80" s="122">
        <v>5171</v>
      </c>
      <c r="F80" s="143" t="s">
        <v>72</v>
      </c>
      <c r="G80" s="119">
        <v>0</v>
      </c>
      <c r="H80" s="119">
        <v>3537.7632</v>
      </c>
      <c r="I80" s="119"/>
      <c r="J80" s="120">
        <f>H80+I80</f>
        <v>3537.7632</v>
      </c>
    </row>
    <row r="81" spans="1:12" ht="12.75" customHeight="1">
      <c r="A81" s="362"/>
      <c r="B81" s="63" t="s">
        <v>7</v>
      </c>
      <c r="C81" s="59" t="s">
        <v>112</v>
      </c>
      <c r="D81" s="51">
        <v>2212</v>
      </c>
      <c r="E81" s="51" t="s">
        <v>5</v>
      </c>
      <c r="F81" s="80" t="s">
        <v>263</v>
      </c>
      <c r="G81" s="73">
        <f>SUM(G82:G83)</f>
        <v>0</v>
      </c>
      <c r="H81" s="73">
        <f>SUM(H82:H83)</f>
        <v>14457.805</v>
      </c>
      <c r="I81" s="73">
        <f>SUM(I82:I83)</f>
        <v>-1.7370000000009895</v>
      </c>
      <c r="J81" s="53">
        <f>SUM(J82:J83)</f>
        <v>14456.068</v>
      </c>
      <c r="L81" s="98"/>
    </row>
    <row r="82" spans="1:12" ht="12.75" customHeight="1">
      <c r="A82" s="362"/>
      <c r="B82" s="85"/>
      <c r="C82" s="87"/>
      <c r="D82" s="88"/>
      <c r="E82" s="114">
        <v>6121</v>
      </c>
      <c r="F82" s="93" t="s">
        <v>59</v>
      </c>
      <c r="G82" s="109">
        <v>0</v>
      </c>
      <c r="H82" s="123">
        <f>7021.903+318+96</f>
        <v>7435.903</v>
      </c>
      <c r="I82" s="123">
        <f>-7021.903+14042.068/2</f>
        <v>-0.8690000000005966</v>
      </c>
      <c r="J82" s="123">
        <f>H82+I82</f>
        <v>7435.034</v>
      </c>
      <c r="K82" s="100"/>
      <c r="L82" s="98"/>
    </row>
    <row r="83" spans="1:12" ht="12.75" customHeight="1" thickBot="1">
      <c r="A83" s="362"/>
      <c r="B83" s="132"/>
      <c r="C83" s="121" t="s">
        <v>95</v>
      </c>
      <c r="D83" s="118"/>
      <c r="E83" s="122">
        <v>6121</v>
      </c>
      <c r="F83" s="77" t="s">
        <v>59</v>
      </c>
      <c r="G83" s="111">
        <v>0</v>
      </c>
      <c r="H83" s="117">
        <v>7021.902</v>
      </c>
      <c r="I83" s="117">
        <f>-7021.902+14042.068/2</f>
        <v>-0.8680000000003929</v>
      </c>
      <c r="J83" s="123">
        <f>H83+I83</f>
        <v>7021.034</v>
      </c>
      <c r="K83" s="100"/>
      <c r="L83" s="98"/>
    </row>
    <row r="84" spans="1:12" ht="12.75">
      <c r="A84" s="362"/>
      <c r="B84" s="63" t="s">
        <v>7</v>
      </c>
      <c r="C84" s="59" t="s">
        <v>113</v>
      </c>
      <c r="D84" s="51">
        <v>2212</v>
      </c>
      <c r="E84" s="51" t="s">
        <v>5</v>
      </c>
      <c r="F84" s="80" t="s">
        <v>264</v>
      </c>
      <c r="G84" s="73">
        <f>SUM(G85:G86)</f>
        <v>0</v>
      </c>
      <c r="H84" s="73">
        <f>SUM(H85:H86)</f>
        <v>6600.655000000001</v>
      </c>
      <c r="I84" s="73">
        <f>SUM(I85:I86)</f>
        <v>-1273.5189999999998</v>
      </c>
      <c r="J84" s="53">
        <f>SUM(J85:J86)</f>
        <v>5327.136</v>
      </c>
      <c r="K84" s="100"/>
      <c r="L84" s="98"/>
    </row>
    <row r="85" spans="1:11" ht="12.75">
      <c r="A85" s="362"/>
      <c r="B85" s="104"/>
      <c r="C85" s="87"/>
      <c r="D85" s="88"/>
      <c r="E85" s="128">
        <v>6121</v>
      </c>
      <c r="F85" s="93" t="s">
        <v>59</v>
      </c>
      <c r="G85" s="109">
        <v>0</v>
      </c>
      <c r="H85" s="123">
        <f>3177.328+246</f>
        <v>3423.328</v>
      </c>
      <c r="I85" s="123">
        <f>-3177.328+5081.136/2</f>
        <v>-636.7599999999998</v>
      </c>
      <c r="J85" s="123">
        <f>H85+I85</f>
        <v>2786.568</v>
      </c>
      <c r="K85" s="101"/>
    </row>
    <row r="86" spans="1:12" ht="12.75" customHeight="1" thickBot="1">
      <c r="A86" s="362"/>
      <c r="B86" s="135"/>
      <c r="C86" s="121" t="s">
        <v>95</v>
      </c>
      <c r="D86" s="118"/>
      <c r="E86" s="122">
        <v>6121</v>
      </c>
      <c r="F86" s="77" t="s">
        <v>59</v>
      </c>
      <c r="G86" s="111">
        <v>0</v>
      </c>
      <c r="H86" s="117">
        <v>3177.327</v>
      </c>
      <c r="I86" s="117">
        <f>-3177.327+5081.136/2</f>
        <v>-636.759</v>
      </c>
      <c r="J86" s="123">
        <f>H86+I86</f>
        <v>2540.568</v>
      </c>
      <c r="K86" s="100"/>
      <c r="L86" s="98"/>
    </row>
    <row r="87" spans="1:11" ht="12.75">
      <c r="A87" s="362"/>
      <c r="B87" s="62" t="s">
        <v>7</v>
      </c>
      <c r="C87" s="59" t="s">
        <v>114</v>
      </c>
      <c r="D87" s="51">
        <v>2212</v>
      </c>
      <c r="E87" s="51" t="s">
        <v>5</v>
      </c>
      <c r="F87" s="80" t="s">
        <v>129</v>
      </c>
      <c r="G87" s="73">
        <f>SUM(G88:G89)</f>
        <v>0</v>
      </c>
      <c r="H87" s="73">
        <f>SUM(H88:H89)</f>
        <v>156</v>
      </c>
      <c r="I87" s="73">
        <f>SUM(I88:I89)</f>
        <v>0</v>
      </c>
      <c r="J87" s="53">
        <f>SUM(J88:J89)</f>
        <v>156</v>
      </c>
      <c r="K87" s="101"/>
    </row>
    <row r="88" spans="1:11" ht="12.75">
      <c r="A88" s="362"/>
      <c r="B88" s="104"/>
      <c r="C88" s="87"/>
      <c r="D88" s="88"/>
      <c r="E88" s="128">
        <v>6121</v>
      </c>
      <c r="F88" s="93" t="s">
        <v>59</v>
      </c>
      <c r="G88" s="109">
        <v>0</v>
      </c>
      <c r="H88" s="123">
        <v>156</v>
      </c>
      <c r="I88" s="123"/>
      <c r="J88" s="123">
        <f>H88+I88</f>
        <v>156</v>
      </c>
      <c r="K88" s="101"/>
    </row>
    <row r="89" spans="1:11" ht="13.5" thickBot="1">
      <c r="A89" s="362"/>
      <c r="B89" s="135"/>
      <c r="C89" s="121" t="s">
        <v>95</v>
      </c>
      <c r="D89" s="118"/>
      <c r="E89" s="122">
        <v>6121</v>
      </c>
      <c r="F89" s="77" t="s">
        <v>59</v>
      </c>
      <c r="G89" s="111">
        <v>0</v>
      </c>
      <c r="H89" s="117">
        <v>0</v>
      </c>
      <c r="I89" s="117"/>
      <c r="J89" s="123">
        <f>H89+I89</f>
        <v>0</v>
      </c>
      <c r="K89" s="101"/>
    </row>
    <row r="90" spans="1:11" ht="12.75">
      <c r="A90" s="362"/>
      <c r="B90" s="62" t="s">
        <v>7</v>
      </c>
      <c r="C90" s="59" t="s">
        <v>115</v>
      </c>
      <c r="D90" s="51">
        <v>2212</v>
      </c>
      <c r="E90" s="51" t="s">
        <v>5</v>
      </c>
      <c r="F90" s="80" t="s">
        <v>265</v>
      </c>
      <c r="G90" s="73">
        <f>SUM(G91:G92)</f>
        <v>0</v>
      </c>
      <c r="H90" s="73">
        <f>SUM(H91:H92)</f>
        <v>6795.296</v>
      </c>
      <c r="I90" s="73">
        <f>SUM(I91:I92)</f>
        <v>-8.850000000000364</v>
      </c>
      <c r="J90" s="53">
        <f>SUM(J91:J92)</f>
        <v>6786.446</v>
      </c>
      <c r="K90" s="101"/>
    </row>
    <row r="91" spans="1:11" ht="12.75">
      <c r="A91" s="362"/>
      <c r="B91" s="104"/>
      <c r="C91" s="87"/>
      <c r="D91" s="88"/>
      <c r="E91" s="128">
        <v>6121</v>
      </c>
      <c r="F91" s="93" t="s">
        <v>59</v>
      </c>
      <c r="G91" s="109">
        <v>0</v>
      </c>
      <c r="H91" s="123">
        <f>3274.648+246</f>
        <v>3520.648</v>
      </c>
      <c r="I91" s="123">
        <f>-3274.648+6540.446/2</f>
        <v>-4.425000000000182</v>
      </c>
      <c r="J91" s="123">
        <f>H91+I91</f>
        <v>3516.223</v>
      </c>
      <c r="K91" s="101"/>
    </row>
    <row r="92" spans="1:11" ht="13.5" thickBot="1">
      <c r="A92" s="362"/>
      <c r="B92" s="135"/>
      <c r="C92" s="121" t="s">
        <v>95</v>
      </c>
      <c r="D92" s="118"/>
      <c r="E92" s="122">
        <v>6121</v>
      </c>
      <c r="F92" s="77" t="s">
        <v>59</v>
      </c>
      <c r="G92" s="111">
        <v>0</v>
      </c>
      <c r="H92" s="117">
        <v>3274.648</v>
      </c>
      <c r="I92" s="117">
        <f>-3274.648+6540.446/2</f>
        <v>-4.425000000000182</v>
      </c>
      <c r="J92" s="123">
        <f>H92+I92</f>
        <v>3270.223</v>
      </c>
      <c r="K92" s="101"/>
    </row>
    <row r="93" spans="1:11" ht="12.75">
      <c r="A93" s="362"/>
      <c r="B93" s="62" t="s">
        <v>7</v>
      </c>
      <c r="C93" s="59" t="s">
        <v>116</v>
      </c>
      <c r="D93" s="51">
        <v>2212</v>
      </c>
      <c r="E93" s="51" t="s">
        <v>5</v>
      </c>
      <c r="F93" s="80" t="s">
        <v>130</v>
      </c>
      <c r="G93" s="73">
        <f>SUM(G94:G95)</f>
        <v>0</v>
      </c>
      <c r="H93" s="73">
        <f>SUM(H94:H95)</f>
        <v>153.6</v>
      </c>
      <c r="I93" s="73">
        <f>SUM(I94:I95)</f>
        <v>0</v>
      </c>
      <c r="J93" s="53">
        <f>SUM(J94:J95)</f>
        <v>153.6</v>
      </c>
      <c r="K93" s="101"/>
    </row>
    <row r="94" spans="1:11" ht="12.75">
      <c r="A94" s="362"/>
      <c r="B94" s="104"/>
      <c r="C94" s="87"/>
      <c r="D94" s="88"/>
      <c r="E94" s="128">
        <v>6121</v>
      </c>
      <c r="F94" s="93" t="s">
        <v>59</v>
      </c>
      <c r="G94" s="109">
        <v>0</v>
      </c>
      <c r="H94" s="123">
        <v>153.6</v>
      </c>
      <c r="I94" s="123"/>
      <c r="J94" s="123">
        <f>H94+I94</f>
        <v>153.6</v>
      </c>
      <c r="K94" s="101"/>
    </row>
    <row r="95" spans="1:11" ht="13.5" thickBot="1">
      <c r="A95" s="362"/>
      <c r="B95" s="126"/>
      <c r="C95" s="121" t="s">
        <v>95</v>
      </c>
      <c r="D95" s="118"/>
      <c r="E95" s="122">
        <v>6121</v>
      </c>
      <c r="F95" s="77" t="s">
        <v>59</v>
      </c>
      <c r="G95" s="119">
        <v>0</v>
      </c>
      <c r="H95" s="117">
        <v>0</v>
      </c>
      <c r="I95" s="117"/>
      <c r="J95" s="120">
        <f>H95+I95</f>
        <v>0</v>
      </c>
      <c r="K95" s="101"/>
    </row>
    <row r="96" spans="1:11" ht="12.75">
      <c r="A96" s="362"/>
      <c r="B96" s="62" t="s">
        <v>7</v>
      </c>
      <c r="C96" s="59" t="s">
        <v>117</v>
      </c>
      <c r="D96" s="51">
        <v>2212</v>
      </c>
      <c r="E96" s="51" t="s">
        <v>5</v>
      </c>
      <c r="F96" s="80" t="s">
        <v>131</v>
      </c>
      <c r="G96" s="73">
        <f>SUM(G97:G98)</f>
        <v>0</v>
      </c>
      <c r="H96" s="73">
        <f>SUM(H97:H98)</f>
        <v>6729.522</v>
      </c>
      <c r="I96" s="73">
        <f>SUM(I97:I98)</f>
        <v>-961.6909999999998</v>
      </c>
      <c r="J96" s="53">
        <f>SUM(J97:J98)</f>
        <v>5767.831</v>
      </c>
      <c r="K96" s="101"/>
    </row>
    <row r="97" spans="1:11" ht="12.75">
      <c r="A97" s="362"/>
      <c r="B97" s="104"/>
      <c r="C97" s="87"/>
      <c r="D97" s="88"/>
      <c r="E97" s="128">
        <v>6121</v>
      </c>
      <c r="F97" s="93" t="s">
        <v>59</v>
      </c>
      <c r="G97" s="109">
        <v>0</v>
      </c>
      <c r="H97" s="123">
        <f>3289.761+150</f>
        <v>3439.761</v>
      </c>
      <c r="I97" s="123">
        <f>-3289.761+5617.832/2</f>
        <v>-480.8449999999998</v>
      </c>
      <c r="J97" s="123">
        <f>H97+I97</f>
        <v>2958.916</v>
      </c>
      <c r="K97" s="101"/>
    </row>
    <row r="98" spans="1:11" ht="13.5" thickBot="1">
      <c r="A98" s="362"/>
      <c r="B98" s="74"/>
      <c r="C98" s="121" t="s">
        <v>95</v>
      </c>
      <c r="D98" s="118"/>
      <c r="E98" s="122">
        <v>6121</v>
      </c>
      <c r="F98" s="77" t="s">
        <v>59</v>
      </c>
      <c r="G98" s="111">
        <v>0</v>
      </c>
      <c r="H98" s="117">
        <v>3289.761</v>
      </c>
      <c r="I98" s="117">
        <f>-3289.761+5617.83/2</f>
        <v>-480.846</v>
      </c>
      <c r="J98" s="120">
        <f>H98+I98</f>
        <v>2808.915</v>
      </c>
      <c r="K98" s="101"/>
    </row>
    <row r="99" spans="1:11" ht="12.75">
      <c r="A99" s="362"/>
      <c r="B99" s="62" t="s">
        <v>7</v>
      </c>
      <c r="C99" s="59" t="s">
        <v>118</v>
      </c>
      <c r="D99" s="51">
        <v>2212</v>
      </c>
      <c r="E99" s="51" t="s">
        <v>5</v>
      </c>
      <c r="F99" s="80" t="s">
        <v>132</v>
      </c>
      <c r="G99" s="73">
        <f>SUM(G100:G101)</f>
        <v>0</v>
      </c>
      <c r="H99" s="73">
        <f>SUM(H100:H101)</f>
        <v>5560.0725</v>
      </c>
      <c r="I99" s="73">
        <f>SUM(I100:I101)</f>
        <v>-279.7555000000003</v>
      </c>
      <c r="J99" s="53">
        <f>SUM(J100:J101)</f>
        <v>5280.317</v>
      </c>
      <c r="K99" s="101"/>
    </row>
    <row r="100" spans="1:11" ht="12.75">
      <c r="A100" s="362"/>
      <c r="B100" s="104"/>
      <c r="C100" s="87"/>
      <c r="D100" s="88"/>
      <c r="E100" s="128">
        <v>6121</v>
      </c>
      <c r="F100" s="93" t="s">
        <v>59</v>
      </c>
      <c r="G100" s="109">
        <v>0</v>
      </c>
      <c r="H100" s="123">
        <f>5148.317/2+132</f>
        <v>2706.1585</v>
      </c>
      <c r="I100" s="123">
        <v>0.0005</v>
      </c>
      <c r="J100" s="123">
        <f>H100+I100</f>
        <v>2706.159</v>
      </c>
      <c r="K100" s="101"/>
    </row>
    <row r="101" spans="1:11" ht="13.5" thickBot="1">
      <c r="A101" s="362"/>
      <c r="B101" s="126"/>
      <c r="C101" s="121" t="s">
        <v>95</v>
      </c>
      <c r="D101" s="118"/>
      <c r="E101" s="122">
        <v>6121</v>
      </c>
      <c r="F101" s="77" t="s">
        <v>59</v>
      </c>
      <c r="G101" s="119">
        <v>0</v>
      </c>
      <c r="H101" s="117">
        <v>2853.914</v>
      </c>
      <c r="I101" s="117">
        <f>-2853.914+5148.316/2</f>
        <v>-279.7560000000003</v>
      </c>
      <c r="J101" s="120">
        <f>H101+I101</f>
        <v>2574.158</v>
      </c>
      <c r="K101" s="101"/>
    </row>
    <row r="102" spans="1:11" ht="12.75">
      <c r="A102" s="362"/>
      <c r="B102" s="62" t="s">
        <v>7</v>
      </c>
      <c r="C102" s="59" t="s">
        <v>119</v>
      </c>
      <c r="D102" s="51">
        <v>2212</v>
      </c>
      <c r="E102" s="51" t="s">
        <v>5</v>
      </c>
      <c r="F102" s="80" t="s">
        <v>133</v>
      </c>
      <c r="G102" s="73">
        <f>SUM(G103:G104)</f>
        <v>0</v>
      </c>
      <c r="H102" s="73">
        <f>SUM(H103:H104)</f>
        <v>13645.036</v>
      </c>
      <c r="I102" s="73">
        <f>SUM(I103:I104)</f>
        <v>-1.0360000000000582</v>
      </c>
      <c r="J102" s="53">
        <f>SUM(J103:J104)</f>
        <v>13644</v>
      </c>
      <c r="K102" s="101"/>
    </row>
    <row r="103" spans="1:11" ht="12.75">
      <c r="A103" s="362"/>
      <c r="B103" s="104"/>
      <c r="C103" s="87"/>
      <c r="D103" s="88"/>
      <c r="E103" s="128">
        <v>6121</v>
      </c>
      <c r="F103" s="93" t="s">
        <v>59</v>
      </c>
      <c r="G103" s="109">
        <v>0</v>
      </c>
      <c r="H103" s="123">
        <f>6651.518+342</f>
        <v>6993.518</v>
      </c>
      <c r="I103" s="123">
        <f>-6651.518+13302/2</f>
        <v>-0.5180000000000291</v>
      </c>
      <c r="J103" s="123">
        <f>H103+I103</f>
        <v>6993</v>
      </c>
      <c r="K103" s="101"/>
    </row>
    <row r="104" spans="1:11" ht="13.5" thickBot="1">
      <c r="A104" s="362"/>
      <c r="B104" s="74"/>
      <c r="C104" s="121" t="s">
        <v>95</v>
      </c>
      <c r="D104" s="118"/>
      <c r="E104" s="122">
        <v>6121</v>
      </c>
      <c r="F104" s="77" t="s">
        <v>59</v>
      </c>
      <c r="G104" s="111">
        <v>0</v>
      </c>
      <c r="H104" s="117">
        <v>6651.518</v>
      </c>
      <c r="I104" s="117">
        <f>-6651.518+13302/2</f>
        <v>-0.5180000000000291</v>
      </c>
      <c r="J104" s="120">
        <f>H104+I104</f>
        <v>6651</v>
      </c>
      <c r="K104" s="101"/>
    </row>
    <row r="105" spans="1:11" ht="12.75">
      <c r="A105" s="362"/>
      <c r="B105" s="62" t="s">
        <v>7</v>
      </c>
      <c r="C105" s="59" t="s">
        <v>120</v>
      </c>
      <c r="D105" s="51">
        <v>2212</v>
      </c>
      <c r="E105" s="51" t="s">
        <v>5</v>
      </c>
      <c r="F105" s="80" t="s">
        <v>134</v>
      </c>
      <c r="G105" s="73">
        <f>SUM(G106:G107)</f>
        <v>0</v>
      </c>
      <c r="H105" s="73">
        <f>SUM(H106:H107)</f>
        <v>5836.5875</v>
      </c>
      <c r="I105" s="73">
        <f>SUM(I106:I107)</f>
        <v>-276.0224999999997</v>
      </c>
      <c r="J105" s="53">
        <f>SUM(J106:J107)</f>
        <v>5560.5650000000005</v>
      </c>
      <c r="K105" s="101"/>
    </row>
    <row r="106" spans="1:11" ht="12.75">
      <c r="A106" s="362"/>
      <c r="B106" s="104"/>
      <c r="C106" s="87"/>
      <c r="D106" s="88"/>
      <c r="E106" s="128">
        <v>6121</v>
      </c>
      <c r="F106" s="93" t="s">
        <v>59</v>
      </c>
      <c r="G106" s="109">
        <v>0</v>
      </c>
      <c r="H106" s="123">
        <f>5428.565/2+132</f>
        <v>2846.2825</v>
      </c>
      <c r="I106" s="123">
        <v>0.0005</v>
      </c>
      <c r="J106" s="123">
        <f>H106+I106</f>
        <v>2846.283</v>
      </c>
      <c r="K106" s="101"/>
    </row>
    <row r="107" spans="1:11" ht="13.5" thickBot="1">
      <c r="A107" s="362"/>
      <c r="B107" s="144"/>
      <c r="C107" s="121" t="s">
        <v>95</v>
      </c>
      <c r="D107" s="118"/>
      <c r="E107" s="122">
        <v>6121</v>
      </c>
      <c r="F107" s="77" t="s">
        <v>59</v>
      </c>
      <c r="G107" s="119">
        <v>0</v>
      </c>
      <c r="H107" s="117">
        <v>2990.305</v>
      </c>
      <c r="I107" s="117">
        <f>-2990.305+5428.564/2</f>
        <v>-276.0229999999997</v>
      </c>
      <c r="J107" s="120">
        <f>H107+I107</f>
        <v>2714.282</v>
      </c>
      <c r="K107" s="101"/>
    </row>
    <row r="108" spans="1:11" ht="12.75">
      <c r="A108" s="362"/>
      <c r="B108" s="62" t="s">
        <v>7</v>
      </c>
      <c r="C108" s="59" t="s">
        <v>121</v>
      </c>
      <c r="D108" s="51">
        <v>2212</v>
      </c>
      <c r="E108" s="51" t="s">
        <v>5</v>
      </c>
      <c r="F108" s="80" t="s">
        <v>135</v>
      </c>
      <c r="G108" s="73">
        <f>SUM(G109:G110)</f>
        <v>0</v>
      </c>
      <c r="H108" s="73">
        <f>SUM(H109:H110)</f>
        <v>7378.321</v>
      </c>
      <c r="I108" s="73">
        <f>SUM(I109:I110)</f>
        <v>-551.2640000000001</v>
      </c>
      <c r="J108" s="53">
        <f>SUM(J109:J110)</f>
        <v>6827.057</v>
      </c>
      <c r="K108" s="101"/>
    </row>
    <row r="109" spans="1:11" ht="12.75">
      <c r="A109" s="362"/>
      <c r="B109" s="104"/>
      <c r="C109" s="87"/>
      <c r="D109" s="88"/>
      <c r="E109" s="128">
        <v>6121</v>
      </c>
      <c r="F109" s="93" t="s">
        <v>59</v>
      </c>
      <c r="G109" s="109">
        <v>0</v>
      </c>
      <c r="H109" s="123">
        <f>3563.161+252</f>
        <v>3815.161</v>
      </c>
      <c r="I109" s="123">
        <f>-3563.161+6575.058/2</f>
        <v>-275.63200000000006</v>
      </c>
      <c r="J109" s="123">
        <f>H109+I109</f>
        <v>3539.529</v>
      </c>
      <c r="K109" s="101"/>
    </row>
    <row r="110" spans="1:11" ht="13.5" thickBot="1">
      <c r="A110" s="362"/>
      <c r="B110" s="126"/>
      <c r="C110" s="121" t="s">
        <v>95</v>
      </c>
      <c r="D110" s="118"/>
      <c r="E110" s="122">
        <v>6121</v>
      </c>
      <c r="F110" s="81" t="s">
        <v>59</v>
      </c>
      <c r="G110" s="119">
        <v>0</v>
      </c>
      <c r="H110" s="120">
        <v>3563.16</v>
      </c>
      <c r="I110" s="120">
        <f>-3563.16+6575.056/2</f>
        <v>-275.63200000000006</v>
      </c>
      <c r="J110" s="120">
        <f>H110+I110</f>
        <v>3287.528</v>
      </c>
      <c r="K110" s="101"/>
    </row>
    <row r="111" spans="1:11" ht="12.75">
      <c r="A111" s="362"/>
      <c r="B111" s="62" t="s">
        <v>7</v>
      </c>
      <c r="C111" s="59" t="s">
        <v>122</v>
      </c>
      <c r="D111" s="51">
        <v>2212</v>
      </c>
      <c r="E111" s="51" t="s">
        <v>5</v>
      </c>
      <c r="F111" s="80" t="s">
        <v>136</v>
      </c>
      <c r="G111" s="73">
        <f>SUM(G112:G113)</f>
        <v>0</v>
      </c>
      <c r="H111" s="73">
        <f>SUM(H112:H113)</f>
        <v>7298.648</v>
      </c>
      <c r="I111" s="73">
        <f>SUM(I112:I113)</f>
        <v>-16.33300000000054</v>
      </c>
      <c r="J111" s="53">
        <f>SUM(J112:J113)</f>
        <v>7282.315</v>
      </c>
      <c r="K111" s="101"/>
    </row>
    <row r="112" spans="1:11" ht="12.75">
      <c r="A112" s="362"/>
      <c r="B112" s="104"/>
      <c r="C112" s="87"/>
      <c r="D112" s="88"/>
      <c r="E112" s="128">
        <v>6121</v>
      </c>
      <c r="F112" s="93" t="s">
        <v>59</v>
      </c>
      <c r="G112" s="109">
        <v>0</v>
      </c>
      <c r="H112" s="123">
        <f>3525.724+247.2</f>
        <v>3772.924</v>
      </c>
      <c r="I112" s="123">
        <f>-3525.724+7035.116/2</f>
        <v>-8.166000000000167</v>
      </c>
      <c r="J112" s="123">
        <f>H112+I112</f>
        <v>3764.758</v>
      </c>
      <c r="K112" s="101"/>
    </row>
    <row r="113" spans="1:11" ht="13.5" thickBot="1">
      <c r="A113" s="362"/>
      <c r="B113" s="144"/>
      <c r="C113" s="121" t="s">
        <v>95</v>
      </c>
      <c r="D113" s="118"/>
      <c r="E113" s="122">
        <v>6121</v>
      </c>
      <c r="F113" s="77" t="s">
        <v>59</v>
      </c>
      <c r="G113" s="119">
        <v>0</v>
      </c>
      <c r="H113" s="117">
        <v>3525.724</v>
      </c>
      <c r="I113" s="117">
        <f>-3525.724+7035.114/2</f>
        <v>-8.167000000000371</v>
      </c>
      <c r="J113" s="120">
        <f>H113+I113</f>
        <v>3517.557</v>
      </c>
      <c r="K113" s="101"/>
    </row>
    <row r="114" spans="1:11" ht="12.75">
      <c r="A114" s="362"/>
      <c r="B114" s="62" t="s">
        <v>7</v>
      </c>
      <c r="C114" s="59" t="s">
        <v>123</v>
      </c>
      <c r="D114" s="51">
        <v>2212</v>
      </c>
      <c r="E114" s="51" t="s">
        <v>5</v>
      </c>
      <c r="F114" s="80" t="s">
        <v>137</v>
      </c>
      <c r="G114" s="73">
        <f>SUM(G115:G116)</f>
        <v>0</v>
      </c>
      <c r="H114" s="73">
        <f>SUM(H115:H116)</f>
        <v>6988.178</v>
      </c>
      <c r="I114" s="73">
        <f>SUM(I115:I116)</f>
        <v>-162.58600000000024</v>
      </c>
      <c r="J114" s="53">
        <f>SUM(J115:J116)</f>
        <v>6825.592</v>
      </c>
      <c r="K114" s="101"/>
    </row>
    <row r="115" spans="1:11" ht="12.75">
      <c r="A115" s="362"/>
      <c r="B115" s="104"/>
      <c r="C115" s="87"/>
      <c r="D115" s="88"/>
      <c r="E115" s="128">
        <v>6121</v>
      </c>
      <c r="F115" s="93" t="s">
        <v>59</v>
      </c>
      <c r="G115" s="109">
        <v>0</v>
      </c>
      <c r="H115" s="123">
        <f>3416.089+156</f>
        <v>3572.089</v>
      </c>
      <c r="I115" s="123">
        <f>-3416.089+6669.592/2</f>
        <v>-81.29300000000012</v>
      </c>
      <c r="J115" s="123">
        <f>H115+I115</f>
        <v>3490.796</v>
      </c>
      <c r="K115" s="101"/>
    </row>
    <row r="116" spans="1:11" ht="13.5" thickBot="1">
      <c r="A116" s="362"/>
      <c r="B116" s="126"/>
      <c r="C116" s="121" t="s">
        <v>95</v>
      </c>
      <c r="D116" s="118"/>
      <c r="E116" s="122">
        <v>6121</v>
      </c>
      <c r="F116" s="77" t="s">
        <v>59</v>
      </c>
      <c r="G116" s="119">
        <v>0</v>
      </c>
      <c r="H116" s="120">
        <v>3416.089</v>
      </c>
      <c r="I116" s="120">
        <f>-3416.089+6669.592/2</f>
        <v>-81.29300000000012</v>
      </c>
      <c r="J116" s="120">
        <f>H116+I116</f>
        <v>3334.796</v>
      </c>
      <c r="K116" s="101"/>
    </row>
    <row r="117" spans="1:11" ht="12.75">
      <c r="A117" s="362"/>
      <c r="B117" s="62" t="s">
        <v>7</v>
      </c>
      <c r="C117" s="59" t="s">
        <v>124</v>
      </c>
      <c r="D117" s="51">
        <v>2212</v>
      </c>
      <c r="E117" s="51" t="s">
        <v>5</v>
      </c>
      <c r="F117" s="80" t="s">
        <v>138</v>
      </c>
      <c r="G117" s="73">
        <f>SUM(G118:G119)</f>
        <v>0</v>
      </c>
      <c r="H117" s="73">
        <f>SUM(H118:H119)</f>
        <v>12444.876</v>
      </c>
      <c r="I117" s="73">
        <f>SUM(I118:I119)</f>
        <v>-50.987999999999374</v>
      </c>
      <c r="J117" s="86">
        <f>SUM(J118:J119)</f>
        <v>12393.888</v>
      </c>
      <c r="K117" s="101"/>
    </row>
    <row r="118" spans="1:11" ht="12.75">
      <c r="A118" s="362"/>
      <c r="B118" s="104"/>
      <c r="C118" s="87"/>
      <c r="D118" s="88"/>
      <c r="E118" s="128">
        <v>6121</v>
      </c>
      <c r="F118" s="93" t="s">
        <v>59</v>
      </c>
      <c r="G118" s="109">
        <v>0</v>
      </c>
      <c r="H118" s="123">
        <f>6054.438+336</f>
        <v>6390.438</v>
      </c>
      <c r="I118" s="123">
        <f>-6054.438+12057.888/2</f>
        <v>-25.493999999999687</v>
      </c>
      <c r="J118" s="123">
        <f>H118+I118</f>
        <v>6364.944</v>
      </c>
      <c r="K118" s="101"/>
    </row>
    <row r="119" spans="1:11" ht="13.5" thickBot="1">
      <c r="A119" s="362"/>
      <c r="B119" s="126"/>
      <c r="C119" s="121" t="s">
        <v>95</v>
      </c>
      <c r="D119" s="118"/>
      <c r="E119" s="122">
        <v>6121</v>
      </c>
      <c r="F119" s="81" t="s">
        <v>59</v>
      </c>
      <c r="G119" s="119">
        <v>0</v>
      </c>
      <c r="H119" s="120">
        <v>6054.438</v>
      </c>
      <c r="I119" s="120">
        <f>-6054.438+12057.888/2</f>
        <v>-25.493999999999687</v>
      </c>
      <c r="J119" s="120">
        <f>H119+I119</f>
        <v>6028.944</v>
      </c>
      <c r="K119" s="101"/>
    </row>
    <row r="120" spans="1:11" ht="12.75">
      <c r="A120" s="362"/>
      <c r="B120" s="62" t="s">
        <v>7</v>
      </c>
      <c r="C120" s="59" t="s">
        <v>125</v>
      </c>
      <c r="D120" s="51">
        <v>2212</v>
      </c>
      <c r="E120" s="51" t="s">
        <v>5</v>
      </c>
      <c r="F120" s="80" t="s">
        <v>139</v>
      </c>
      <c r="G120" s="50">
        <f>SUM(G121:G122)</f>
        <v>0</v>
      </c>
      <c r="H120" s="50">
        <f>SUM(H121:H122)</f>
        <v>7227.792</v>
      </c>
      <c r="I120" s="50">
        <f>SUM(I121:I122)</f>
        <v>-61.14900000000034</v>
      </c>
      <c r="J120" s="53">
        <f>SUM(J121:J122)</f>
        <v>7166.643</v>
      </c>
      <c r="K120" s="101"/>
    </row>
    <row r="121" spans="1:11" ht="12.75">
      <c r="A121" s="362"/>
      <c r="B121" s="104"/>
      <c r="C121" s="87"/>
      <c r="D121" s="88"/>
      <c r="E121" s="128">
        <v>6121</v>
      </c>
      <c r="F121" s="93" t="s">
        <v>59</v>
      </c>
      <c r="G121" s="109">
        <v>0</v>
      </c>
      <c r="H121" s="123">
        <f>3499.896+228</f>
        <v>3727.896</v>
      </c>
      <c r="I121" s="123">
        <f>-3499.896+6938.644/2</f>
        <v>-30.57400000000007</v>
      </c>
      <c r="J121" s="123">
        <f>H121+I121</f>
        <v>3697.322</v>
      </c>
      <c r="K121" s="101"/>
    </row>
    <row r="122" spans="1:11" ht="13.5" thickBot="1">
      <c r="A122" s="362"/>
      <c r="B122" s="126"/>
      <c r="C122" s="121" t="s">
        <v>95</v>
      </c>
      <c r="D122" s="118"/>
      <c r="E122" s="122">
        <v>6121</v>
      </c>
      <c r="F122" s="77" t="s">
        <v>59</v>
      </c>
      <c r="G122" s="119">
        <v>0</v>
      </c>
      <c r="H122" s="117">
        <v>3499.896</v>
      </c>
      <c r="I122" s="117">
        <f>-3499.896+6938.642/2</f>
        <v>-30.575000000000273</v>
      </c>
      <c r="J122" s="120">
        <f>H122+I122</f>
        <v>3469.321</v>
      </c>
      <c r="K122" s="101"/>
    </row>
    <row r="123" spans="1:11" ht="12.75">
      <c r="A123" s="362"/>
      <c r="B123" s="62" t="s">
        <v>7</v>
      </c>
      <c r="C123" s="59" t="s">
        <v>126</v>
      </c>
      <c r="D123" s="51">
        <v>2212</v>
      </c>
      <c r="E123" s="51" t="s">
        <v>5</v>
      </c>
      <c r="F123" s="80" t="s">
        <v>140</v>
      </c>
      <c r="G123" s="50">
        <f>SUM(G124:G125)</f>
        <v>0</v>
      </c>
      <c r="H123" s="50">
        <f>SUM(H124:H125)</f>
        <v>132</v>
      </c>
      <c r="I123" s="50">
        <f>SUM(I124:I125)</f>
        <v>0</v>
      </c>
      <c r="J123" s="53">
        <f>SUM(J124:J125)</f>
        <v>132</v>
      </c>
      <c r="K123" s="101"/>
    </row>
    <row r="124" spans="1:11" ht="12.75">
      <c r="A124" s="362"/>
      <c r="B124" s="104"/>
      <c r="C124" s="87"/>
      <c r="D124" s="88"/>
      <c r="E124" s="128">
        <v>6121</v>
      </c>
      <c r="F124" s="93" t="s">
        <v>59</v>
      </c>
      <c r="G124" s="109">
        <v>0</v>
      </c>
      <c r="H124" s="123">
        <v>132</v>
      </c>
      <c r="I124" s="123"/>
      <c r="J124" s="123">
        <f>H124+I124</f>
        <v>132</v>
      </c>
      <c r="K124" s="101"/>
    </row>
    <row r="125" spans="1:11" ht="13.5" thickBot="1">
      <c r="A125" s="362"/>
      <c r="B125" s="126"/>
      <c r="C125" s="121" t="s">
        <v>95</v>
      </c>
      <c r="D125" s="118"/>
      <c r="E125" s="122">
        <v>6121</v>
      </c>
      <c r="F125" s="81" t="s">
        <v>59</v>
      </c>
      <c r="G125" s="119">
        <v>0</v>
      </c>
      <c r="H125" s="120">
        <v>0</v>
      </c>
      <c r="I125" s="120"/>
      <c r="J125" s="120">
        <f>H125+I125</f>
        <v>0</v>
      </c>
      <c r="K125" s="101"/>
    </row>
    <row r="126" spans="1:11" ht="12.75">
      <c r="A126" s="362"/>
      <c r="B126" s="62" t="s">
        <v>7</v>
      </c>
      <c r="C126" s="59" t="s">
        <v>127</v>
      </c>
      <c r="D126" s="51">
        <v>2212</v>
      </c>
      <c r="E126" s="51" t="s">
        <v>5</v>
      </c>
      <c r="F126" s="80" t="s">
        <v>141</v>
      </c>
      <c r="G126" s="73">
        <f>SUM(G127:G128)</f>
        <v>0</v>
      </c>
      <c r="H126" s="73">
        <f>SUM(H127:H128)</f>
        <v>5651.143</v>
      </c>
      <c r="I126" s="73">
        <f>SUM(I127:I128)</f>
        <v>-716.1120000000001</v>
      </c>
      <c r="J126" s="86">
        <f>SUM(J127:J128)</f>
        <v>4935.031</v>
      </c>
      <c r="K126" s="101"/>
    </row>
    <row r="127" spans="1:11" ht="12.75">
      <c r="A127" s="362"/>
      <c r="B127" s="104"/>
      <c r="C127" s="87"/>
      <c r="D127" s="88"/>
      <c r="E127" s="128">
        <v>6121</v>
      </c>
      <c r="F127" s="93" t="s">
        <v>59</v>
      </c>
      <c r="G127" s="109">
        <v>0</v>
      </c>
      <c r="H127" s="123">
        <f>4797.031/2+0.0005+138</f>
        <v>2536.516</v>
      </c>
      <c r="I127" s="123"/>
      <c r="J127" s="123">
        <f>H127+I127</f>
        <v>2536.516</v>
      </c>
      <c r="K127" s="101"/>
    </row>
    <row r="128" spans="1:11" ht="13.5" thickBot="1">
      <c r="A128" s="362"/>
      <c r="B128" s="126"/>
      <c r="C128" s="121" t="s">
        <v>95</v>
      </c>
      <c r="D128" s="118"/>
      <c r="E128" s="122">
        <v>6121</v>
      </c>
      <c r="F128" s="77" t="s">
        <v>59</v>
      </c>
      <c r="G128" s="119">
        <v>0</v>
      </c>
      <c r="H128" s="117">
        <v>3114.627</v>
      </c>
      <c r="I128" s="117">
        <f>-3114.627+4797.03/2</f>
        <v>-716.1120000000001</v>
      </c>
      <c r="J128" s="120">
        <f>H128+I128</f>
        <v>2398.515</v>
      </c>
      <c r="K128" s="101"/>
    </row>
    <row r="129" spans="1:11" ht="12.75">
      <c r="A129" s="362"/>
      <c r="B129" s="62" t="s">
        <v>7</v>
      </c>
      <c r="C129" s="59" t="s">
        <v>128</v>
      </c>
      <c r="D129" s="51">
        <v>2212</v>
      </c>
      <c r="E129" s="51" t="s">
        <v>5</v>
      </c>
      <c r="F129" s="80" t="s">
        <v>142</v>
      </c>
      <c r="G129" s="73">
        <f>SUM(G130:G131)</f>
        <v>0</v>
      </c>
      <c r="H129" s="73">
        <f>SUM(H130:H131)</f>
        <v>7319.921</v>
      </c>
      <c r="I129" s="73">
        <f>SUM(I130:I131)</f>
        <v>-1659.895</v>
      </c>
      <c r="J129" s="86">
        <f>SUM(J130:J131)</f>
        <v>5660.026</v>
      </c>
      <c r="K129" s="101"/>
    </row>
    <row r="130" spans="1:11" ht="12.75">
      <c r="A130" s="362"/>
      <c r="B130" s="104"/>
      <c r="C130" s="162"/>
      <c r="D130" s="163"/>
      <c r="E130" s="128">
        <v>6121</v>
      </c>
      <c r="F130" s="93" t="s">
        <v>59</v>
      </c>
      <c r="G130" s="109">
        <v>0</v>
      </c>
      <c r="H130" s="123">
        <f>3539.961+240</f>
        <v>3779.961</v>
      </c>
      <c r="I130" s="123">
        <f>-3539.961+5420.026/2</f>
        <v>-829.9479999999999</v>
      </c>
      <c r="J130" s="123">
        <f>H130+I130</f>
        <v>2950.013</v>
      </c>
      <c r="K130" s="101"/>
    </row>
    <row r="131" spans="1:10" ht="13.5" thickBot="1">
      <c r="A131" s="362"/>
      <c r="B131" s="126"/>
      <c r="C131" s="121" t="s">
        <v>95</v>
      </c>
      <c r="D131" s="118"/>
      <c r="E131" s="122">
        <v>6121</v>
      </c>
      <c r="F131" s="77" t="s">
        <v>59</v>
      </c>
      <c r="G131" s="119">
        <v>0</v>
      </c>
      <c r="H131" s="117">
        <v>3539.96</v>
      </c>
      <c r="I131" s="117">
        <f>-3539.96+5420.026/2</f>
        <v>-829.9470000000001</v>
      </c>
      <c r="J131" s="120">
        <f>H131+I131</f>
        <v>2710.013</v>
      </c>
    </row>
    <row r="132" spans="1:13" ht="22.5">
      <c r="A132" s="362"/>
      <c r="B132" s="105" t="s">
        <v>7</v>
      </c>
      <c r="C132" s="59" t="s">
        <v>167</v>
      </c>
      <c r="D132" s="99">
        <v>2212</v>
      </c>
      <c r="E132" s="99" t="s">
        <v>5</v>
      </c>
      <c r="F132" s="80" t="s">
        <v>166</v>
      </c>
      <c r="G132" s="50">
        <f>SUM(G133:G133)</f>
        <v>0</v>
      </c>
      <c r="H132" s="50">
        <f>SUM(H133:H133)</f>
        <v>6327.198</v>
      </c>
      <c r="I132" s="50">
        <f>SUM(I133:I133)</f>
        <v>0</v>
      </c>
      <c r="J132" s="53">
        <f>SUM(J133:J133)</f>
        <v>6327.198</v>
      </c>
      <c r="M132" s="70"/>
    </row>
    <row r="133" spans="1:10" ht="13.5" thickBot="1">
      <c r="A133" s="362"/>
      <c r="B133" s="148"/>
      <c r="C133" s="82"/>
      <c r="D133" s="124"/>
      <c r="E133" s="138">
        <v>6121</v>
      </c>
      <c r="F133" s="77" t="s">
        <v>59</v>
      </c>
      <c r="G133" s="119">
        <v>0</v>
      </c>
      <c r="H133" s="119">
        <f>6057.198+198+24+48</f>
        <v>6327.198</v>
      </c>
      <c r="I133" s="119"/>
      <c r="J133" s="120">
        <f>H133+I133</f>
        <v>6327.198</v>
      </c>
    </row>
    <row r="134" spans="1:11" ht="12.75">
      <c r="A134" s="362"/>
      <c r="B134" s="62" t="s">
        <v>7</v>
      </c>
      <c r="C134" s="59" t="s">
        <v>168</v>
      </c>
      <c r="D134" s="51">
        <v>2212</v>
      </c>
      <c r="E134" s="51" t="s">
        <v>5</v>
      </c>
      <c r="F134" s="80" t="s">
        <v>266</v>
      </c>
      <c r="G134" s="50">
        <f>SUM(G135:G136)</f>
        <v>0</v>
      </c>
      <c r="H134" s="50">
        <f>SUM(H135:H136)</f>
        <v>14723.887</v>
      </c>
      <c r="I134" s="50">
        <f>SUM(I135:I136)</f>
        <v>0</v>
      </c>
      <c r="J134" s="53">
        <f>SUM(J135:J136)</f>
        <v>14723.887</v>
      </c>
      <c r="K134" s="101"/>
    </row>
    <row r="135" spans="1:11" ht="12.75">
      <c r="A135" s="362"/>
      <c r="B135" s="104"/>
      <c r="C135" s="87"/>
      <c r="D135" s="88"/>
      <c r="E135" s="128">
        <v>6121</v>
      </c>
      <c r="F135" s="93" t="s">
        <v>59</v>
      </c>
      <c r="G135" s="109">
        <v>0</v>
      </c>
      <c r="H135" s="109">
        <f>14279.888/2+348+96</f>
        <v>7583.944</v>
      </c>
      <c r="I135" s="109"/>
      <c r="J135" s="123">
        <f>H135+I135</f>
        <v>7583.944</v>
      </c>
      <c r="K135" s="101"/>
    </row>
    <row r="136" spans="1:11" ht="13.5" thickBot="1">
      <c r="A136" s="362"/>
      <c r="B136" s="126"/>
      <c r="C136" s="121" t="s">
        <v>95</v>
      </c>
      <c r="D136" s="118"/>
      <c r="E136" s="122">
        <v>6121</v>
      </c>
      <c r="F136" s="77" t="s">
        <v>59</v>
      </c>
      <c r="G136" s="119">
        <v>0</v>
      </c>
      <c r="H136" s="119">
        <f>14279.886/2</f>
        <v>7139.943</v>
      </c>
      <c r="I136" s="119"/>
      <c r="J136" s="120">
        <f>H136+I136</f>
        <v>7139.943</v>
      </c>
      <c r="K136" s="101"/>
    </row>
    <row r="137" spans="1:11" ht="12.75">
      <c r="A137" s="362"/>
      <c r="B137" s="62" t="s">
        <v>7</v>
      </c>
      <c r="C137" s="59" t="s">
        <v>169</v>
      </c>
      <c r="D137" s="51">
        <v>2212</v>
      </c>
      <c r="E137" s="51" t="s">
        <v>5</v>
      </c>
      <c r="F137" s="80" t="s">
        <v>267</v>
      </c>
      <c r="G137" s="73">
        <f>SUM(G138:G139)</f>
        <v>0</v>
      </c>
      <c r="H137" s="73">
        <f>SUM(H138:H139)</f>
        <v>23279.385</v>
      </c>
      <c r="I137" s="73">
        <f>SUM(I138:I139)</f>
        <v>0</v>
      </c>
      <c r="J137" s="86">
        <f>SUM(J138:J139)</f>
        <v>23279.385</v>
      </c>
      <c r="K137" s="108"/>
    </row>
    <row r="138" spans="1:11" ht="12.75">
      <c r="A138" s="362"/>
      <c r="B138" s="104"/>
      <c r="C138" s="87"/>
      <c r="D138" s="88"/>
      <c r="E138" s="128">
        <v>6121</v>
      </c>
      <c r="F138" s="93" t="s">
        <v>59</v>
      </c>
      <c r="G138" s="109">
        <v>0</v>
      </c>
      <c r="H138" s="109">
        <f>11324.693+504+126</f>
        <v>11954.693</v>
      </c>
      <c r="I138" s="109"/>
      <c r="J138" s="123">
        <f>H138+I138</f>
        <v>11954.693</v>
      </c>
      <c r="K138" s="101"/>
    </row>
    <row r="139" spans="1:11" ht="13.5" thickBot="1">
      <c r="A139" s="362"/>
      <c r="B139" s="126"/>
      <c r="C139" s="121" t="s">
        <v>95</v>
      </c>
      <c r="D139" s="118"/>
      <c r="E139" s="122">
        <v>6121</v>
      </c>
      <c r="F139" s="77" t="s">
        <v>59</v>
      </c>
      <c r="G139" s="119">
        <v>0</v>
      </c>
      <c r="H139" s="119">
        <f>11324.692</f>
        <v>11324.692</v>
      </c>
      <c r="I139" s="120"/>
      <c r="J139" s="120">
        <f>H139+I139</f>
        <v>11324.692</v>
      </c>
      <c r="K139" s="101"/>
    </row>
    <row r="140" spans="1:11" ht="12.75">
      <c r="A140" s="362"/>
      <c r="B140" s="62" t="s">
        <v>7</v>
      </c>
      <c r="C140" s="59" t="s">
        <v>170</v>
      </c>
      <c r="D140" s="51">
        <v>2212</v>
      </c>
      <c r="E140" s="51" t="s">
        <v>5</v>
      </c>
      <c r="F140" s="80" t="s">
        <v>172</v>
      </c>
      <c r="G140" s="73">
        <f>SUM(G141:G142)</f>
        <v>0</v>
      </c>
      <c r="H140" s="73">
        <f>SUM(H141:H142)</f>
        <v>13060.39</v>
      </c>
      <c r="I140" s="73">
        <f>SUM(I141:I142)</f>
        <v>0</v>
      </c>
      <c r="J140" s="86">
        <f>SUM(J141:J142)</f>
        <v>13060.39</v>
      </c>
      <c r="K140" s="101"/>
    </row>
    <row r="141" spans="1:11" ht="12.75">
      <c r="A141" s="362"/>
      <c r="B141" s="104"/>
      <c r="C141" s="87"/>
      <c r="D141" s="88"/>
      <c r="E141" s="128">
        <v>6121</v>
      </c>
      <c r="F141" s="93" t="s">
        <v>59</v>
      </c>
      <c r="G141" s="109">
        <v>0</v>
      </c>
      <c r="H141" s="109">
        <f>11610.19/2+1057.2/2+393</f>
        <v>6726.695000000001</v>
      </c>
      <c r="I141" s="109"/>
      <c r="J141" s="123">
        <f>H141+I141</f>
        <v>6726.695000000001</v>
      </c>
      <c r="K141" s="106"/>
    </row>
    <row r="142" spans="1:11" ht="13.5" thickBot="1">
      <c r="A142" s="362"/>
      <c r="B142" s="126"/>
      <c r="C142" s="121" t="s">
        <v>95</v>
      </c>
      <c r="D142" s="118"/>
      <c r="E142" s="122">
        <v>6121</v>
      </c>
      <c r="F142" s="77" t="s">
        <v>59</v>
      </c>
      <c r="G142" s="119">
        <v>0</v>
      </c>
      <c r="H142" s="119">
        <f>6333.695</f>
        <v>6333.695</v>
      </c>
      <c r="I142" s="119"/>
      <c r="J142" s="120">
        <f>H142+I142</f>
        <v>6333.695</v>
      </c>
      <c r="K142" s="101"/>
    </row>
    <row r="143" spans="1:11" ht="22.5">
      <c r="A143" s="362"/>
      <c r="B143" s="62" t="s">
        <v>7</v>
      </c>
      <c r="C143" s="59" t="s">
        <v>171</v>
      </c>
      <c r="D143" s="51">
        <v>2212</v>
      </c>
      <c r="E143" s="51" t="s">
        <v>5</v>
      </c>
      <c r="F143" s="80" t="s">
        <v>173</v>
      </c>
      <c r="G143" s="73">
        <f>SUM(G144:G145)</f>
        <v>0</v>
      </c>
      <c r="H143" s="73">
        <f>SUM(H144:H145)</f>
        <v>4391.969</v>
      </c>
      <c r="I143" s="73">
        <f>SUM(I144:I145)</f>
        <v>-5.9619999999998186</v>
      </c>
      <c r="J143" s="86">
        <f>SUM(J144:J145)</f>
        <v>4386.007</v>
      </c>
      <c r="K143" s="101"/>
    </row>
    <row r="144" spans="1:12" ht="12.75">
      <c r="A144" s="362"/>
      <c r="B144" s="104"/>
      <c r="C144" s="87"/>
      <c r="D144" s="88"/>
      <c r="E144" s="128">
        <v>6121</v>
      </c>
      <c r="F144" s="93" t="s">
        <v>59</v>
      </c>
      <c r="G144" s="109">
        <v>0</v>
      </c>
      <c r="H144" s="109">
        <f>3769.207/2+0.0005+458.4/2+158.4</f>
        <v>2272.204</v>
      </c>
      <c r="I144" s="109"/>
      <c r="J144" s="123">
        <f>H144+I144</f>
        <v>2272.204</v>
      </c>
      <c r="K144" s="106"/>
      <c r="L144" s="107"/>
    </row>
    <row r="145" spans="1:11" ht="13.5" thickBot="1">
      <c r="A145" s="362"/>
      <c r="B145" s="126"/>
      <c r="C145" s="121" t="s">
        <v>95</v>
      </c>
      <c r="D145" s="118"/>
      <c r="E145" s="122">
        <v>6121</v>
      </c>
      <c r="F145" s="77" t="s">
        <v>59</v>
      </c>
      <c r="G145" s="119">
        <v>0</v>
      </c>
      <c r="H145" s="119">
        <f>2119.765</f>
        <v>2119.765</v>
      </c>
      <c r="I145" s="119">
        <f>-2119.765+3769.206/2+458.4/2</f>
        <v>-5.9619999999998186</v>
      </c>
      <c r="J145" s="120">
        <f>H145+I145</f>
        <v>2113.803</v>
      </c>
      <c r="K145" s="101"/>
    </row>
    <row r="146" spans="1:11" ht="12.75">
      <c r="A146" s="362"/>
      <c r="B146" s="62" t="s">
        <v>7</v>
      </c>
      <c r="C146" s="59" t="s">
        <v>174</v>
      </c>
      <c r="D146" s="51">
        <v>2212</v>
      </c>
      <c r="E146" s="51" t="s">
        <v>5</v>
      </c>
      <c r="F146" s="61" t="s">
        <v>188</v>
      </c>
      <c r="G146" s="50">
        <f>SUM(G147:G147)</f>
        <v>0</v>
      </c>
      <c r="H146" s="50">
        <f>SUM(H147:H147)</f>
        <v>4326.150000000001</v>
      </c>
      <c r="I146" s="50">
        <f>SUM(I147:I147)</f>
        <v>0</v>
      </c>
      <c r="J146" s="53">
        <f>SUM(J147:J147)</f>
        <v>4326.150000000001</v>
      </c>
      <c r="K146" s="101"/>
    </row>
    <row r="147" spans="1:11" ht="13.5" thickBot="1">
      <c r="A147" s="362"/>
      <c r="B147" s="144"/>
      <c r="C147" s="92"/>
      <c r="D147" s="145"/>
      <c r="E147" s="146">
        <v>6121</v>
      </c>
      <c r="F147" s="76" t="s">
        <v>59</v>
      </c>
      <c r="G147" s="116">
        <v>0</v>
      </c>
      <c r="H147" s="116">
        <f>4232.55+2*46.8</f>
        <v>4326.150000000001</v>
      </c>
      <c r="I147" s="116"/>
      <c r="J147" s="120">
        <f>H147+I147</f>
        <v>4326.150000000001</v>
      </c>
      <c r="K147" s="101"/>
    </row>
    <row r="148" spans="1:10" ht="12.75">
      <c r="A148" s="362"/>
      <c r="B148" s="62" t="s">
        <v>7</v>
      </c>
      <c r="C148" s="59" t="s">
        <v>175</v>
      </c>
      <c r="D148" s="51">
        <v>2212</v>
      </c>
      <c r="E148" s="51" t="s">
        <v>5</v>
      </c>
      <c r="F148" s="61" t="s">
        <v>187</v>
      </c>
      <c r="G148" s="50">
        <f>SUM(G149:G149)</f>
        <v>0</v>
      </c>
      <c r="H148" s="50">
        <f>SUM(H149:H149)</f>
        <v>3988.5809999999997</v>
      </c>
      <c r="I148" s="50">
        <f>SUM(I149:I149)</f>
        <v>0</v>
      </c>
      <c r="J148" s="53">
        <f>SUM(J149:J149)</f>
        <v>3988.5809999999997</v>
      </c>
    </row>
    <row r="149" spans="1:11" ht="13.5" thickBot="1">
      <c r="A149" s="362"/>
      <c r="B149" s="126"/>
      <c r="C149" s="82"/>
      <c r="D149" s="118"/>
      <c r="E149" s="122">
        <v>6121</v>
      </c>
      <c r="F149" s="77" t="s">
        <v>59</v>
      </c>
      <c r="G149" s="119">
        <v>0</v>
      </c>
      <c r="H149" s="119">
        <f>3839.178+115.2+34.203</f>
        <v>3988.5809999999997</v>
      </c>
      <c r="I149" s="116"/>
      <c r="J149" s="120">
        <f>H149+I149</f>
        <v>3988.5809999999997</v>
      </c>
      <c r="K149" s="101"/>
    </row>
    <row r="150" spans="1:11" ht="12.75">
      <c r="A150" s="362"/>
      <c r="B150" s="62" t="s">
        <v>7</v>
      </c>
      <c r="C150" s="59" t="s">
        <v>176</v>
      </c>
      <c r="D150" s="51">
        <v>2212</v>
      </c>
      <c r="E150" s="51" t="s">
        <v>5</v>
      </c>
      <c r="F150" s="61" t="s">
        <v>186</v>
      </c>
      <c r="G150" s="50">
        <f>SUM(G151:G151)</f>
        <v>0</v>
      </c>
      <c r="H150" s="50">
        <f>SUM(H151:H151)</f>
        <v>4214.552000000001</v>
      </c>
      <c r="I150" s="50">
        <f>SUM(I151:I151)</f>
        <v>0</v>
      </c>
      <c r="J150" s="53">
        <f>SUM(J151:J151)</f>
        <v>4214.552000000001</v>
      </c>
      <c r="K150" s="101"/>
    </row>
    <row r="151" spans="1:11" ht="13.5" thickBot="1">
      <c r="A151" s="362"/>
      <c r="B151" s="144"/>
      <c r="C151" s="92"/>
      <c r="D151" s="145"/>
      <c r="E151" s="146">
        <v>6121</v>
      </c>
      <c r="F151" s="76" t="s">
        <v>59</v>
      </c>
      <c r="G151" s="119">
        <v>0</v>
      </c>
      <c r="H151" s="119">
        <f>4078.882+104.4+31.27</f>
        <v>4214.552000000001</v>
      </c>
      <c r="I151" s="116"/>
      <c r="J151" s="120">
        <f>H151+I151</f>
        <v>4214.552000000001</v>
      </c>
      <c r="K151" s="101"/>
    </row>
    <row r="152" spans="1:11" ht="12.75">
      <c r="A152" s="362"/>
      <c r="B152" s="62" t="s">
        <v>7</v>
      </c>
      <c r="C152" s="59" t="s">
        <v>177</v>
      </c>
      <c r="D152" s="51">
        <v>2212</v>
      </c>
      <c r="E152" s="51" t="s">
        <v>5</v>
      </c>
      <c r="F152" s="61" t="s">
        <v>185</v>
      </c>
      <c r="G152" s="73">
        <f>SUM(G153:G153)</f>
        <v>0</v>
      </c>
      <c r="H152" s="73">
        <f>SUM(H153:H153)</f>
        <v>3569.7490000000003</v>
      </c>
      <c r="I152" s="50">
        <f>SUM(I153:I153)</f>
        <v>0</v>
      </c>
      <c r="J152" s="53">
        <f>SUM(J153:J153)</f>
        <v>3569.7490000000003</v>
      </c>
      <c r="K152" s="101"/>
    </row>
    <row r="153" spans="1:11" ht="13.5" thickBot="1">
      <c r="A153" s="362"/>
      <c r="B153" s="126"/>
      <c r="C153" s="82"/>
      <c r="D153" s="118"/>
      <c r="E153" s="122">
        <v>6121</v>
      </c>
      <c r="F153" s="77" t="s">
        <v>59</v>
      </c>
      <c r="G153" s="116">
        <v>0</v>
      </c>
      <c r="H153" s="116">
        <f>3436.315+104.4+29.034</f>
        <v>3569.7490000000003</v>
      </c>
      <c r="I153" s="116"/>
      <c r="J153" s="120">
        <f>H153+I153</f>
        <v>3569.7490000000003</v>
      </c>
      <c r="K153" s="101"/>
    </row>
    <row r="154" spans="1:11" ht="12.75">
      <c r="A154" s="362"/>
      <c r="B154" s="62" t="s">
        <v>7</v>
      </c>
      <c r="C154" s="59" t="s">
        <v>178</v>
      </c>
      <c r="D154" s="51">
        <v>2212</v>
      </c>
      <c r="E154" s="51" t="s">
        <v>5</v>
      </c>
      <c r="F154" s="52" t="s">
        <v>182</v>
      </c>
      <c r="G154" s="50">
        <f>SUM(G155:G155)</f>
        <v>0</v>
      </c>
      <c r="H154" s="50">
        <f>SUM(H155:H155)</f>
        <v>6015.322</v>
      </c>
      <c r="I154" s="50">
        <f>SUM(I155:I155)</f>
        <v>0</v>
      </c>
      <c r="J154" s="53">
        <f>SUM(J155:J155)</f>
        <v>6015.322</v>
      </c>
      <c r="K154" s="101"/>
    </row>
    <row r="155" spans="1:11" ht="13.5" thickBot="1">
      <c r="A155" s="362"/>
      <c r="B155" s="144"/>
      <c r="C155" s="92"/>
      <c r="D155" s="145"/>
      <c r="E155" s="146">
        <v>6121</v>
      </c>
      <c r="F155" s="76" t="s">
        <v>59</v>
      </c>
      <c r="G155" s="119">
        <v>0</v>
      </c>
      <c r="H155" s="119">
        <f>5847.322+114+54</f>
        <v>6015.322</v>
      </c>
      <c r="I155" s="116"/>
      <c r="J155" s="120">
        <f>H155+I155</f>
        <v>6015.322</v>
      </c>
      <c r="K155" s="101"/>
    </row>
    <row r="156" spans="1:11" ht="12.75">
      <c r="A156" s="362"/>
      <c r="B156" s="62" t="s">
        <v>7</v>
      </c>
      <c r="C156" s="59" t="s">
        <v>179</v>
      </c>
      <c r="D156" s="51">
        <v>2212</v>
      </c>
      <c r="E156" s="51" t="s">
        <v>5</v>
      </c>
      <c r="F156" s="61" t="s">
        <v>183</v>
      </c>
      <c r="G156" s="73">
        <f>SUM(G157:G157)</f>
        <v>0</v>
      </c>
      <c r="H156" s="73">
        <f>SUM(H157:H157)</f>
        <v>3356.0389999999998</v>
      </c>
      <c r="I156" s="50">
        <f>SUM(I157:I157)</f>
        <v>0</v>
      </c>
      <c r="J156" s="53">
        <f>SUM(J157:J157)</f>
        <v>3356.0389999999998</v>
      </c>
      <c r="K156" s="101"/>
    </row>
    <row r="157" spans="1:11" ht="13.5" thickBot="1">
      <c r="A157" s="362"/>
      <c r="B157" s="126"/>
      <c r="C157" s="82"/>
      <c r="D157" s="118"/>
      <c r="E157" s="122">
        <v>6121</v>
      </c>
      <c r="F157" s="77" t="s">
        <v>59</v>
      </c>
      <c r="G157" s="116">
        <v>0</v>
      </c>
      <c r="H157" s="119">
        <f>3247.92+85.2+18+4.919</f>
        <v>3356.0389999999998</v>
      </c>
      <c r="I157" s="116"/>
      <c r="J157" s="120">
        <f>H157+I157</f>
        <v>3356.0389999999998</v>
      </c>
      <c r="K157" s="101"/>
    </row>
    <row r="158" spans="1:11" ht="12.75">
      <c r="A158" s="362"/>
      <c r="B158" s="62" t="s">
        <v>7</v>
      </c>
      <c r="C158" s="59" t="s">
        <v>180</v>
      </c>
      <c r="D158" s="51">
        <v>2212</v>
      </c>
      <c r="E158" s="51" t="s">
        <v>5</v>
      </c>
      <c r="F158" s="52" t="s">
        <v>184</v>
      </c>
      <c r="G158" s="50">
        <f>SUM(G159:G159)</f>
        <v>0</v>
      </c>
      <c r="H158" s="50">
        <f>SUM(H159:H159)</f>
        <v>7287.752</v>
      </c>
      <c r="I158" s="50">
        <f>SUM(I159:I159)</f>
        <v>0</v>
      </c>
      <c r="J158" s="53">
        <f>SUM(J159:J159)</f>
        <v>7287.752</v>
      </c>
      <c r="K158" s="101"/>
    </row>
    <row r="159" spans="1:11" ht="13.5" thickBot="1">
      <c r="A159" s="362"/>
      <c r="B159" s="126"/>
      <c r="C159" s="82"/>
      <c r="D159" s="118"/>
      <c r="E159" s="122">
        <v>6121</v>
      </c>
      <c r="F159" s="77" t="s">
        <v>59</v>
      </c>
      <c r="G159" s="119">
        <v>0</v>
      </c>
      <c r="H159" s="119">
        <f>7003.665+214.8+69.287</f>
        <v>7287.752</v>
      </c>
      <c r="I159" s="116"/>
      <c r="J159" s="120">
        <f>H159+I159</f>
        <v>7287.752</v>
      </c>
      <c r="K159" s="101"/>
    </row>
    <row r="160" spans="1:11" ht="12.75">
      <c r="A160" s="362"/>
      <c r="B160" s="62" t="s">
        <v>7</v>
      </c>
      <c r="C160" s="59" t="s">
        <v>181</v>
      </c>
      <c r="D160" s="51">
        <v>2212</v>
      </c>
      <c r="E160" s="51" t="s">
        <v>5</v>
      </c>
      <c r="F160" s="52" t="s">
        <v>194</v>
      </c>
      <c r="G160" s="50">
        <f>SUM(G161:G161)</f>
        <v>0</v>
      </c>
      <c r="H160" s="50">
        <f>SUM(H161:H161)</f>
        <v>6466.367</v>
      </c>
      <c r="I160" s="50">
        <f>SUM(I161:I161)</f>
        <v>0</v>
      </c>
      <c r="J160" s="53">
        <f>SUM(J161:J161)</f>
        <v>6466.367</v>
      </c>
      <c r="K160" s="101"/>
    </row>
    <row r="161" spans="1:11" ht="13.5" thickBot="1">
      <c r="A161" s="362"/>
      <c r="B161" s="126"/>
      <c r="C161" s="82"/>
      <c r="D161" s="118"/>
      <c r="E161" s="122">
        <v>6121</v>
      </c>
      <c r="F161" s="77" t="s">
        <v>59</v>
      </c>
      <c r="G161" s="119">
        <v>0</v>
      </c>
      <c r="H161" s="119">
        <f>6178.367+216+72</f>
        <v>6466.367</v>
      </c>
      <c r="I161" s="116"/>
      <c r="J161" s="120">
        <f>H161+I161</f>
        <v>6466.367</v>
      </c>
      <c r="K161" s="101"/>
    </row>
    <row r="162" spans="1:11" ht="12.75">
      <c r="A162" s="362"/>
      <c r="B162" s="62" t="s">
        <v>7</v>
      </c>
      <c r="C162" s="59" t="s">
        <v>189</v>
      </c>
      <c r="D162" s="51">
        <v>2212</v>
      </c>
      <c r="E162" s="51" t="s">
        <v>5</v>
      </c>
      <c r="F162" s="61" t="s">
        <v>195</v>
      </c>
      <c r="G162" s="73">
        <f>SUM(G163:G163)</f>
        <v>0</v>
      </c>
      <c r="H162" s="50">
        <f>SUM(H163:H163)</f>
        <v>4054.437</v>
      </c>
      <c r="I162" s="50">
        <f>SUM(I163:I163)</f>
        <v>0</v>
      </c>
      <c r="J162" s="53">
        <f>SUM(J163:J163)</f>
        <v>4054.437</v>
      </c>
      <c r="K162" s="101"/>
    </row>
    <row r="163" spans="1:11" ht="13.5" thickBot="1">
      <c r="A163" s="362"/>
      <c r="B163" s="126"/>
      <c r="C163" s="82"/>
      <c r="D163" s="118"/>
      <c r="E163" s="122">
        <v>6121</v>
      </c>
      <c r="F163" s="77" t="s">
        <v>59</v>
      </c>
      <c r="G163" s="116">
        <v>0</v>
      </c>
      <c r="H163" s="119">
        <f>3913.965+109.2+31.272</f>
        <v>4054.437</v>
      </c>
      <c r="I163" s="119"/>
      <c r="J163" s="120">
        <f>H163+I163</f>
        <v>4054.437</v>
      </c>
      <c r="K163" s="101"/>
    </row>
    <row r="164" spans="1:11" ht="12.75">
      <c r="A164" s="362"/>
      <c r="B164" s="62" t="s">
        <v>7</v>
      </c>
      <c r="C164" s="59" t="s">
        <v>190</v>
      </c>
      <c r="D164" s="51">
        <v>2212</v>
      </c>
      <c r="E164" s="51" t="s">
        <v>5</v>
      </c>
      <c r="F164" s="52" t="s">
        <v>196</v>
      </c>
      <c r="G164" s="50">
        <f>SUM(G165:G165)</f>
        <v>0</v>
      </c>
      <c r="H164" s="50">
        <f>SUM(H165:H165)</f>
        <v>7135.222999999999</v>
      </c>
      <c r="I164" s="50">
        <f>SUM(I165:I165)</f>
        <v>0</v>
      </c>
      <c r="J164" s="53">
        <f>SUM(J165:J165)</f>
        <v>7135.222999999999</v>
      </c>
      <c r="K164" s="101"/>
    </row>
    <row r="165" spans="1:11" ht="13.5" thickBot="1">
      <c r="A165" s="362"/>
      <c r="B165" s="144"/>
      <c r="C165" s="92"/>
      <c r="D165" s="145"/>
      <c r="E165" s="146">
        <v>6121</v>
      </c>
      <c r="F165" s="76" t="s">
        <v>59</v>
      </c>
      <c r="G165" s="119">
        <v>0</v>
      </c>
      <c r="H165" s="119">
        <f>6899.275+176.4+59.548</f>
        <v>7135.222999999999</v>
      </c>
      <c r="I165" s="116"/>
      <c r="J165" s="120">
        <f>H165+I165</f>
        <v>7135.222999999999</v>
      </c>
      <c r="K165" s="101"/>
    </row>
    <row r="166" spans="1:11" ht="12.75">
      <c r="A166" s="362"/>
      <c r="B166" s="62" t="s">
        <v>7</v>
      </c>
      <c r="C166" s="59" t="s">
        <v>191</v>
      </c>
      <c r="D166" s="51">
        <v>2212</v>
      </c>
      <c r="E166" s="51" t="s">
        <v>5</v>
      </c>
      <c r="F166" s="61" t="s">
        <v>197</v>
      </c>
      <c r="G166" s="73">
        <f>SUM(G167:G167)</f>
        <v>0</v>
      </c>
      <c r="H166" s="50">
        <f>SUM(H167:H167)</f>
        <v>6926.928</v>
      </c>
      <c r="I166" s="50">
        <f>SUM(I167:I167)</f>
        <v>0</v>
      </c>
      <c r="J166" s="53">
        <f>SUM(J167:J167)</f>
        <v>6926.928</v>
      </c>
      <c r="K166" s="101"/>
    </row>
    <row r="167" spans="1:11" ht="13.5" thickBot="1">
      <c r="A167" s="362"/>
      <c r="B167" s="126"/>
      <c r="C167" s="82"/>
      <c r="D167" s="118"/>
      <c r="E167" s="122">
        <v>6121</v>
      </c>
      <c r="F167" s="77" t="s">
        <v>59</v>
      </c>
      <c r="G167" s="116">
        <v>0</v>
      </c>
      <c r="H167" s="119">
        <f>6672.235+187.2+67.493</f>
        <v>6926.928</v>
      </c>
      <c r="I167" s="119"/>
      <c r="J167" s="120">
        <f>H167+I167</f>
        <v>6926.928</v>
      </c>
      <c r="K167" s="101"/>
    </row>
    <row r="168" spans="1:11" ht="12.75">
      <c r="A168" s="362"/>
      <c r="B168" s="62" t="s">
        <v>7</v>
      </c>
      <c r="C168" s="59" t="s">
        <v>192</v>
      </c>
      <c r="D168" s="51">
        <v>2212</v>
      </c>
      <c r="E168" s="51" t="s">
        <v>5</v>
      </c>
      <c r="F168" s="52" t="s">
        <v>200</v>
      </c>
      <c r="G168" s="50">
        <f>SUM(G169:G169)</f>
        <v>0</v>
      </c>
      <c r="H168" s="50">
        <f>SUM(H169:H169)</f>
        <v>4193.004</v>
      </c>
      <c r="I168" s="50">
        <f>SUM(I169:I169)</f>
        <v>0</v>
      </c>
      <c r="J168" s="53">
        <f>SUM(J169:J169)</f>
        <v>4193.004</v>
      </c>
      <c r="K168" s="101"/>
    </row>
    <row r="169" spans="1:11" ht="13.5" thickBot="1">
      <c r="A169" s="362"/>
      <c r="B169" s="126"/>
      <c r="C169" s="82"/>
      <c r="D169" s="118"/>
      <c r="E169" s="122">
        <v>6121</v>
      </c>
      <c r="F169" s="77" t="s">
        <v>59</v>
      </c>
      <c r="G169" s="119">
        <v>0</v>
      </c>
      <c r="H169" s="119">
        <f>4019.004+114+60</f>
        <v>4193.004</v>
      </c>
      <c r="I169" s="116"/>
      <c r="J169" s="120">
        <f>H169+I169</f>
        <v>4193.004</v>
      </c>
      <c r="K169" s="101"/>
    </row>
    <row r="170" spans="1:11" ht="12.75">
      <c r="A170" s="362"/>
      <c r="B170" s="62" t="s">
        <v>7</v>
      </c>
      <c r="C170" s="59" t="s">
        <v>193</v>
      </c>
      <c r="D170" s="51">
        <v>2212</v>
      </c>
      <c r="E170" s="51" t="s">
        <v>5</v>
      </c>
      <c r="F170" s="52" t="s">
        <v>201</v>
      </c>
      <c r="G170" s="50">
        <f>SUM(G171:G171)</f>
        <v>0</v>
      </c>
      <c r="H170" s="50">
        <f>SUM(H171:H171)</f>
        <v>3472.922</v>
      </c>
      <c r="I170" s="50">
        <f>SUM(I171:I171)</f>
        <v>0</v>
      </c>
      <c r="J170" s="53">
        <f>SUM(J171:J171)</f>
        <v>3472.922</v>
      </c>
      <c r="K170" s="101"/>
    </row>
    <row r="171" spans="1:11" ht="13.5" thickBot="1">
      <c r="A171" s="362"/>
      <c r="B171" s="126"/>
      <c r="C171" s="82"/>
      <c r="D171" s="118"/>
      <c r="E171" s="122">
        <v>6121</v>
      </c>
      <c r="F171" s="77" t="s">
        <v>59</v>
      </c>
      <c r="G171" s="119">
        <v>0</v>
      </c>
      <c r="H171" s="119">
        <f>3347.788+98.4+26.734</f>
        <v>3472.922</v>
      </c>
      <c r="I171" s="116"/>
      <c r="J171" s="120">
        <f>H171+I171</f>
        <v>3472.922</v>
      </c>
      <c r="K171" s="101"/>
    </row>
    <row r="172" spans="1:11" ht="12.75">
      <c r="A172" s="362"/>
      <c r="B172" s="62" t="s">
        <v>7</v>
      </c>
      <c r="C172" s="59" t="s">
        <v>198</v>
      </c>
      <c r="D172" s="51">
        <v>2212</v>
      </c>
      <c r="E172" s="51" t="s">
        <v>5</v>
      </c>
      <c r="F172" s="52" t="s">
        <v>202</v>
      </c>
      <c r="G172" s="50">
        <f>SUM(G173:G173)</f>
        <v>0</v>
      </c>
      <c r="H172" s="50">
        <f>SUM(H173:H173)</f>
        <v>5672.922</v>
      </c>
      <c r="I172" s="50">
        <f>SUM(I173:I173)</f>
        <v>0</v>
      </c>
      <c r="J172" s="53">
        <f>SUM(J173:J173)</f>
        <v>5672.922</v>
      </c>
      <c r="K172" s="101"/>
    </row>
    <row r="173" spans="1:11" ht="13.5" thickBot="1">
      <c r="A173" s="362"/>
      <c r="B173" s="126"/>
      <c r="C173" s="82"/>
      <c r="D173" s="118"/>
      <c r="E173" s="122">
        <v>6121</v>
      </c>
      <c r="F173" s="77" t="s">
        <v>59</v>
      </c>
      <c r="G173" s="119">
        <v>0</v>
      </c>
      <c r="H173" s="119">
        <f>5492.4+136.8+43.722</f>
        <v>5672.922</v>
      </c>
      <c r="I173" s="116"/>
      <c r="J173" s="120">
        <f>H173+I173</f>
        <v>5672.922</v>
      </c>
      <c r="K173" s="101"/>
    </row>
    <row r="174" spans="1:11" ht="12.75">
      <c r="A174" s="362"/>
      <c r="B174" s="62" t="s">
        <v>7</v>
      </c>
      <c r="C174" s="59" t="s">
        <v>199</v>
      </c>
      <c r="D174" s="51">
        <v>2212</v>
      </c>
      <c r="E174" s="51" t="s">
        <v>5</v>
      </c>
      <c r="F174" s="52" t="s">
        <v>203</v>
      </c>
      <c r="G174" s="50">
        <f>SUM(G175:G175)</f>
        <v>0</v>
      </c>
      <c r="H174" s="50">
        <f>SUM(H175:H175)</f>
        <v>6649.576</v>
      </c>
      <c r="I174" s="53">
        <f>SUM(I175:I175)</f>
        <v>0</v>
      </c>
      <c r="J174" s="53">
        <f>SUM(J175:J175)</f>
        <v>6649.576</v>
      </c>
      <c r="K174" s="101"/>
    </row>
    <row r="175" spans="1:11" ht="13.5" thickBot="1">
      <c r="A175" s="362"/>
      <c r="B175" s="126"/>
      <c r="C175" s="82"/>
      <c r="D175" s="118"/>
      <c r="E175" s="122">
        <v>6121</v>
      </c>
      <c r="F175" s="77" t="s">
        <v>59</v>
      </c>
      <c r="G175" s="119">
        <v>0</v>
      </c>
      <c r="H175" s="119">
        <f>6576.336+58.8+14.44</f>
        <v>6649.576</v>
      </c>
      <c r="I175" s="120"/>
      <c r="J175" s="120">
        <f>H175+I175</f>
        <v>6649.576</v>
      </c>
      <c r="K175" s="101"/>
    </row>
    <row r="176" spans="1:11" ht="12.75">
      <c r="A176" s="362"/>
      <c r="B176" s="62" t="s">
        <v>7</v>
      </c>
      <c r="C176" s="59" t="s">
        <v>204</v>
      </c>
      <c r="D176" s="51">
        <v>2212</v>
      </c>
      <c r="E176" s="51" t="s">
        <v>5</v>
      </c>
      <c r="F176" s="80" t="s">
        <v>206</v>
      </c>
      <c r="G176" s="73">
        <f>SUM(G177:G178)</f>
        <v>0</v>
      </c>
      <c r="H176" s="73">
        <f>SUM(H177:H178)</f>
        <v>4707.336</v>
      </c>
      <c r="I176" s="73">
        <f>SUM(I177:I178)</f>
        <v>-483.029</v>
      </c>
      <c r="J176" s="86">
        <f>SUM(J177:J178)</f>
        <v>4224.307000000001</v>
      </c>
      <c r="K176" s="101"/>
    </row>
    <row r="177" spans="1:11" ht="12.75">
      <c r="A177" s="362"/>
      <c r="B177" s="104"/>
      <c r="C177" s="87"/>
      <c r="D177" s="88"/>
      <c r="E177" s="128">
        <v>6121</v>
      </c>
      <c r="F177" s="93" t="s">
        <v>59</v>
      </c>
      <c r="G177" s="109">
        <v>0</v>
      </c>
      <c r="H177" s="109">
        <f>4003.224/2+140.4+483.029+80.684</f>
        <v>2705.7250000000004</v>
      </c>
      <c r="I177" s="109"/>
      <c r="J177" s="123">
        <f>H177+I177</f>
        <v>2705.7250000000004</v>
      </c>
      <c r="K177" s="101"/>
    </row>
    <row r="178" spans="1:11" ht="13.5" thickBot="1">
      <c r="A178" s="362"/>
      <c r="B178" s="126"/>
      <c r="C178" s="121" t="s">
        <v>95</v>
      </c>
      <c r="D178" s="118"/>
      <c r="E178" s="122">
        <v>6121</v>
      </c>
      <c r="F178" s="77" t="s">
        <v>59</v>
      </c>
      <c r="G178" s="119">
        <v>0</v>
      </c>
      <c r="H178" s="119">
        <f>4003.222/2</f>
        <v>2001.611</v>
      </c>
      <c r="I178" s="119">
        <f>-483.029</f>
        <v>-483.029</v>
      </c>
      <c r="J178" s="120">
        <f>H178+I178</f>
        <v>1518.582</v>
      </c>
      <c r="K178" s="101"/>
    </row>
    <row r="179" spans="1:10" ht="13.5" customHeight="1">
      <c r="A179" s="362"/>
      <c r="B179" s="62" t="s">
        <v>7</v>
      </c>
      <c r="C179" s="59" t="s">
        <v>205</v>
      </c>
      <c r="D179" s="51">
        <v>2212</v>
      </c>
      <c r="E179" s="99" t="s">
        <v>5</v>
      </c>
      <c r="F179" s="80" t="s">
        <v>207</v>
      </c>
      <c r="G179" s="50">
        <f>SUM(G180:G182)</f>
        <v>0</v>
      </c>
      <c r="H179" s="50">
        <f>SUM(H180:H182)</f>
        <v>90</v>
      </c>
      <c r="I179" s="50">
        <f>SUM(I180:I182)</f>
        <v>0</v>
      </c>
      <c r="J179" s="53">
        <f>SUM(J180:J182)</f>
        <v>90</v>
      </c>
    </row>
    <row r="180" spans="1:11" ht="12.75">
      <c r="A180" s="362"/>
      <c r="B180" s="89"/>
      <c r="C180" s="87"/>
      <c r="D180" s="88"/>
      <c r="E180" s="114">
        <v>5169</v>
      </c>
      <c r="F180" s="115" t="s">
        <v>149</v>
      </c>
      <c r="G180" s="109">
        <v>0</v>
      </c>
      <c r="H180" s="109">
        <v>90</v>
      </c>
      <c r="I180" s="109"/>
      <c r="J180" s="130">
        <f>H180+I180</f>
        <v>90</v>
      </c>
      <c r="K180" s="101"/>
    </row>
    <row r="181" spans="1:10" ht="12.75">
      <c r="A181" s="362"/>
      <c r="B181" s="103"/>
      <c r="C181" s="90"/>
      <c r="D181" s="91"/>
      <c r="E181" s="114">
        <v>5171</v>
      </c>
      <c r="F181" s="131" t="s">
        <v>72</v>
      </c>
      <c r="G181" s="109">
        <v>0</v>
      </c>
      <c r="H181" s="109">
        <v>0</v>
      </c>
      <c r="I181" s="109"/>
      <c r="J181" s="130">
        <f>H181+I181</f>
        <v>0</v>
      </c>
    </row>
    <row r="182" spans="1:10" ht="13.5" thickBot="1">
      <c r="A182" s="362"/>
      <c r="B182" s="126"/>
      <c r="C182" s="121" t="s">
        <v>74</v>
      </c>
      <c r="D182" s="118"/>
      <c r="E182" s="122">
        <v>5171</v>
      </c>
      <c r="F182" s="127" t="s">
        <v>72</v>
      </c>
      <c r="G182" s="119">
        <v>0</v>
      </c>
      <c r="H182" s="119">
        <v>0</v>
      </c>
      <c r="I182" s="119"/>
      <c r="J182" s="120">
        <f>H182+I182</f>
        <v>0</v>
      </c>
    </row>
    <row r="183" spans="1:10" ht="12.75">
      <c r="A183" s="362"/>
      <c r="B183" s="62" t="s">
        <v>7</v>
      </c>
      <c r="C183" s="59" t="s">
        <v>208</v>
      </c>
      <c r="D183" s="51">
        <v>2212</v>
      </c>
      <c r="E183" s="99" t="s">
        <v>5</v>
      </c>
      <c r="F183" s="80" t="s">
        <v>209</v>
      </c>
      <c r="G183" s="50">
        <f>SUM(G184:G186)</f>
        <v>0</v>
      </c>
      <c r="H183" s="50">
        <f>SUM(H184:H186)</f>
        <v>73.8</v>
      </c>
      <c r="I183" s="50">
        <f>SUM(I184:I186)</f>
        <v>0</v>
      </c>
      <c r="J183" s="53">
        <f>SUM(J184:J186)</f>
        <v>73.8</v>
      </c>
    </row>
    <row r="184" spans="1:10" ht="12.75">
      <c r="A184" s="362"/>
      <c r="B184" s="89"/>
      <c r="C184" s="87"/>
      <c r="D184" s="88"/>
      <c r="E184" s="114">
        <v>5169</v>
      </c>
      <c r="F184" s="115" t="s">
        <v>149</v>
      </c>
      <c r="G184" s="109">
        <v>0</v>
      </c>
      <c r="H184" s="109">
        <v>54</v>
      </c>
      <c r="I184" s="109"/>
      <c r="J184" s="130">
        <f>H184+I184</f>
        <v>54</v>
      </c>
    </row>
    <row r="185" spans="1:10" ht="12.75">
      <c r="A185" s="362"/>
      <c r="B185" s="103"/>
      <c r="C185" s="90"/>
      <c r="D185" s="91"/>
      <c r="E185" s="114">
        <v>5171</v>
      </c>
      <c r="F185" s="131" t="s">
        <v>72</v>
      </c>
      <c r="G185" s="109">
        <v>0</v>
      </c>
      <c r="H185" s="109">
        <f>19.8</f>
        <v>19.8</v>
      </c>
      <c r="I185" s="109"/>
      <c r="J185" s="130">
        <f>H185+I185</f>
        <v>19.8</v>
      </c>
    </row>
    <row r="186" spans="1:10" ht="13.5" thickBot="1">
      <c r="A186" s="362"/>
      <c r="B186" s="126"/>
      <c r="C186" s="121" t="s">
        <v>74</v>
      </c>
      <c r="D186" s="118"/>
      <c r="E186" s="122">
        <v>5171</v>
      </c>
      <c r="F186" s="143" t="s">
        <v>72</v>
      </c>
      <c r="G186" s="119">
        <v>0</v>
      </c>
      <c r="H186" s="120">
        <f>1095.372/2-(1095.372/2)</f>
        <v>0</v>
      </c>
      <c r="I186" s="120"/>
      <c r="J186" s="120">
        <f>H186+I186</f>
        <v>0</v>
      </c>
    </row>
    <row r="187" spans="1:10" ht="12.75">
      <c r="A187" s="362"/>
      <c r="B187" s="62" t="s">
        <v>7</v>
      </c>
      <c r="C187" s="59" t="s">
        <v>213</v>
      </c>
      <c r="D187" s="51">
        <v>2212</v>
      </c>
      <c r="E187" s="99" t="s">
        <v>5</v>
      </c>
      <c r="F187" s="80" t="s">
        <v>210</v>
      </c>
      <c r="G187" s="50">
        <f>SUM(G188:G190)</f>
        <v>0</v>
      </c>
      <c r="H187" s="50">
        <f>SUM(H188:H190)</f>
        <v>8432.335</v>
      </c>
      <c r="I187" s="50">
        <f>SUM(I188:I190)</f>
        <v>-202.32000000000016</v>
      </c>
      <c r="J187" s="53">
        <f>SUM(J188:J190)</f>
        <v>8230.015</v>
      </c>
    </row>
    <row r="188" spans="1:11" ht="12.75">
      <c r="A188" s="362"/>
      <c r="B188" s="89"/>
      <c r="C188" s="87"/>
      <c r="D188" s="88"/>
      <c r="E188" s="114">
        <v>5169</v>
      </c>
      <c r="F188" s="115" t="s">
        <v>149</v>
      </c>
      <c r="G188" s="109">
        <v>0</v>
      </c>
      <c r="H188" s="109">
        <v>276</v>
      </c>
      <c r="I188" s="109"/>
      <c r="J188" s="130">
        <f>H188+I188</f>
        <v>276</v>
      </c>
      <c r="K188" s="101"/>
    </row>
    <row r="189" spans="1:10" ht="12.75">
      <c r="A189" s="362"/>
      <c r="B189" s="103"/>
      <c r="C189" s="90"/>
      <c r="D189" s="91"/>
      <c r="E189" s="114">
        <v>5171</v>
      </c>
      <c r="F189" s="131" t="s">
        <v>72</v>
      </c>
      <c r="G189" s="109">
        <v>0</v>
      </c>
      <c r="H189" s="109">
        <f>8156.336/2</f>
        <v>4078.168</v>
      </c>
      <c r="I189" s="109">
        <f>-8156.336/2+7954.016/2</f>
        <v>-101.16000000000031</v>
      </c>
      <c r="J189" s="130">
        <f>H189+I189</f>
        <v>3977.008</v>
      </c>
    </row>
    <row r="190" spans="1:10" ht="13.5" thickBot="1">
      <c r="A190" s="362"/>
      <c r="B190" s="126"/>
      <c r="C190" s="121" t="s">
        <v>74</v>
      </c>
      <c r="D190" s="118"/>
      <c r="E190" s="122">
        <v>5171</v>
      </c>
      <c r="F190" s="127" t="s">
        <v>72</v>
      </c>
      <c r="G190" s="119">
        <v>0</v>
      </c>
      <c r="H190" s="119">
        <f>8156.334/2</f>
        <v>4078.167</v>
      </c>
      <c r="I190" s="119">
        <f>-8156.334/2+7954.014/2</f>
        <v>-101.15999999999985</v>
      </c>
      <c r="J190" s="120">
        <f>H190+I190</f>
        <v>3977.007</v>
      </c>
    </row>
    <row r="191" spans="1:11" ht="22.5">
      <c r="A191" s="362"/>
      <c r="B191" s="62" t="s">
        <v>7</v>
      </c>
      <c r="C191" s="59" t="s">
        <v>214</v>
      </c>
      <c r="D191" s="51">
        <v>2212</v>
      </c>
      <c r="E191" s="51" t="s">
        <v>5</v>
      </c>
      <c r="F191" s="80" t="s">
        <v>211</v>
      </c>
      <c r="G191" s="73">
        <f>SUM(G192:G193)</f>
        <v>0</v>
      </c>
      <c r="H191" s="53">
        <f>SUM(H192:H193)</f>
        <v>7012.137000000001</v>
      </c>
      <c r="I191" s="53">
        <f>SUM(I192:I193)</f>
        <v>-1.3299999999999272</v>
      </c>
      <c r="J191" s="86">
        <f>SUM(J192:J193)</f>
        <v>7010.807000000001</v>
      </c>
      <c r="K191" s="101"/>
    </row>
    <row r="192" spans="1:11" ht="12.75">
      <c r="A192" s="362"/>
      <c r="B192" s="104"/>
      <c r="C192" s="87"/>
      <c r="D192" s="88"/>
      <c r="E192" s="128">
        <v>6121</v>
      </c>
      <c r="F192" s="93" t="s">
        <v>59</v>
      </c>
      <c r="G192" s="109">
        <v>0</v>
      </c>
      <c r="H192" s="123">
        <f>6664.007/2+0.0005+240+106.8/2</f>
        <v>3625.404</v>
      </c>
      <c r="I192" s="123"/>
      <c r="J192" s="123">
        <f>H192+I192</f>
        <v>3625.404</v>
      </c>
      <c r="K192" s="101"/>
    </row>
    <row r="193" spans="1:11" ht="13.5" thickBot="1">
      <c r="A193" s="362"/>
      <c r="B193" s="126"/>
      <c r="C193" s="121" t="s">
        <v>95</v>
      </c>
      <c r="D193" s="118"/>
      <c r="E193" s="122">
        <v>6121</v>
      </c>
      <c r="F193" s="81" t="s">
        <v>59</v>
      </c>
      <c r="G193" s="119">
        <v>0</v>
      </c>
      <c r="H193" s="120">
        <f>6666.666/2+106.8/2</f>
        <v>3386.733</v>
      </c>
      <c r="I193" s="120">
        <f>-6666.666/2+6664.006/2</f>
        <v>-1.3299999999999272</v>
      </c>
      <c r="J193" s="120">
        <f>H193+I193</f>
        <v>3385.4030000000002</v>
      </c>
      <c r="K193" s="101"/>
    </row>
    <row r="194" spans="1:11" ht="12.75">
      <c r="A194" s="362"/>
      <c r="B194" s="62" t="s">
        <v>7</v>
      </c>
      <c r="C194" s="59" t="s">
        <v>217</v>
      </c>
      <c r="D194" s="51">
        <v>2212</v>
      </c>
      <c r="E194" s="51" t="s">
        <v>5</v>
      </c>
      <c r="F194" s="80" t="s">
        <v>212</v>
      </c>
      <c r="G194" s="50">
        <f>SUM(G195:G196)</f>
        <v>0</v>
      </c>
      <c r="H194" s="50">
        <f>SUM(H195:H196)</f>
        <v>6821.929</v>
      </c>
      <c r="I194" s="50">
        <f>SUM(I195:I196)</f>
        <v>-0.599999999999909</v>
      </c>
      <c r="J194" s="53">
        <f>SUM(J195:J196)</f>
        <v>6821.329000000001</v>
      </c>
      <c r="K194" s="101"/>
    </row>
    <row r="195" spans="1:11" ht="12.75">
      <c r="A195" s="362"/>
      <c r="B195" s="104"/>
      <c r="C195" s="87"/>
      <c r="D195" s="88"/>
      <c r="E195" s="128">
        <v>6121</v>
      </c>
      <c r="F195" s="93" t="s">
        <v>59</v>
      </c>
      <c r="G195" s="109">
        <v>0</v>
      </c>
      <c r="H195" s="123">
        <f>6475.729/2+0.0005+240+106.8/2</f>
        <v>3531.2650000000003</v>
      </c>
      <c r="I195" s="123"/>
      <c r="J195" s="123">
        <f>H195+I195</f>
        <v>3531.2650000000003</v>
      </c>
      <c r="K195" s="101"/>
    </row>
    <row r="196" spans="1:11" ht="13.5" thickBot="1">
      <c r="A196" s="362"/>
      <c r="B196" s="126"/>
      <c r="C196" s="121" t="s">
        <v>95</v>
      </c>
      <c r="D196" s="118"/>
      <c r="E196" s="122">
        <v>6121</v>
      </c>
      <c r="F196" s="77" t="s">
        <v>59</v>
      </c>
      <c r="G196" s="119">
        <v>0</v>
      </c>
      <c r="H196" s="109">
        <f>3237.264+106.8/2</f>
        <v>3290.664</v>
      </c>
      <c r="I196" s="109">
        <f>3237.264-6475.728/2</f>
        <v>-0.599999999999909</v>
      </c>
      <c r="J196" s="120">
        <f>H196+I196</f>
        <v>3290.0640000000003</v>
      </c>
      <c r="K196" s="101"/>
    </row>
    <row r="197" spans="1:10" ht="12.75">
      <c r="A197" s="362"/>
      <c r="B197" s="62" t="s">
        <v>7</v>
      </c>
      <c r="C197" s="59" t="s">
        <v>215</v>
      </c>
      <c r="D197" s="51">
        <v>2212</v>
      </c>
      <c r="E197" s="99" t="s">
        <v>5</v>
      </c>
      <c r="F197" s="80" t="s">
        <v>233</v>
      </c>
      <c r="G197" s="50">
        <f>SUM(G198:G200)</f>
        <v>0</v>
      </c>
      <c r="H197" s="53">
        <f>SUM(H198:H200)</f>
        <v>1279.435</v>
      </c>
      <c r="I197" s="53">
        <f>SUM(I198:I200)</f>
        <v>0</v>
      </c>
      <c r="J197" s="53">
        <f>SUM(J198:J200)</f>
        <v>1279.435</v>
      </c>
    </row>
    <row r="198" spans="1:11" ht="12.75">
      <c r="A198" s="362"/>
      <c r="B198" s="89"/>
      <c r="C198" s="87"/>
      <c r="D198" s="88"/>
      <c r="E198" s="114">
        <v>5169</v>
      </c>
      <c r="F198" s="115" t="s">
        <v>149</v>
      </c>
      <c r="G198" s="109">
        <v>0</v>
      </c>
      <c r="H198" s="123">
        <v>84</v>
      </c>
      <c r="I198" s="123"/>
      <c r="J198" s="130">
        <f>H198+I198</f>
        <v>84</v>
      </c>
      <c r="K198" s="101"/>
    </row>
    <row r="199" spans="1:10" ht="12.75">
      <c r="A199" s="362"/>
      <c r="B199" s="103"/>
      <c r="C199" s="90"/>
      <c r="D199" s="91"/>
      <c r="E199" s="114">
        <v>5171</v>
      </c>
      <c r="F199" s="131" t="s">
        <v>72</v>
      </c>
      <c r="G199" s="109">
        <v>0</v>
      </c>
      <c r="H199" s="123">
        <f>-524.88+1195.435</f>
        <v>670.555</v>
      </c>
      <c r="I199" s="123"/>
      <c r="J199" s="130">
        <f>H199+I199</f>
        <v>670.555</v>
      </c>
    </row>
    <row r="200" spans="1:10" ht="13.5" thickBot="1">
      <c r="A200" s="362"/>
      <c r="B200" s="126"/>
      <c r="C200" s="121" t="s">
        <v>74</v>
      </c>
      <c r="D200" s="118"/>
      <c r="E200" s="122">
        <v>5171</v>
      </c>
      <c r="F200" s="143" t="s">
        <v>72</v>
      </c>
      <c r="G200" s="119">
        <v>0</v>
      </c>
      <c r="H200" s="120">
        <f>524.88</f>
        <v>524.88</v>
      </c>
      <c r="I200" s="120"/>
      <c r="J200" s="120">
        <f>H200+I200</f>
        <v>524.88</v>
      </c>
    </row>
    <row r="201" spans="1:11" ht="12.75">
      <c r="A201" s="362"/>
      <c r="B201" s="62" t="s">
        <v>7</v>
      </c>
      <c r="C201" s="59" t="s">
        <v>216</v>
      </c>
      <c r="D201" s="51">
        <v>2212</v>
      </c>
      <c r="E201" s="51" t="s">
        <v>5</v>
      </c>
      <c r="F201" s="52" t="s">
        <v>225</v>
      </c>
      <c r="G201" s="50">
        <f>SUM(G202:G202)</f>
        <v>0</v>
      </c>
      <c r="H201" s="50">
        <f>SUM(H202:H202)</f>
        <v>0</v>
      </c>
      <c r="I201" s="53">
        <f aca="true" t="shared" si="0" ref="I201:I215">SUM(I202:I202)</f>
        <v>0</v>
      </c>
      <c r="J201" s="53">
        <f>SUM(J202:J202)</f>
        <v>0</v>
      </c>
      <c r="K201" s="101"/>
    </row>
    <row r="202" spans="1:11" ht="13.5" thickBot="1">
      <c r="A202" s="362"/>
      <c r="B202" s="126"/>
      <c r="C202" s="82"/>
      <c r="D202" s="118"/>
      <c r="E202" s="122">
        <v>6121</v>
      </c>
      <c r="F202" s="77" t="s">
        <v>59</v>
      </c>
      <c r="G202" s="119">
        <v>0</v>
      </c>
      <c r="H202" s="119">
        <v>0</v>
      </c>
      <c r="I202" s="120"/>
      <c r="J202" s="120">
        <f>H202+I202</f>
        <v>0</v>
      </c>
      <c r="K202" s="101"/>
    </row>
    <row r="203" spans="1:11" ht="12.75">
      <c r="A203" s="362"/>
      <c r="B203" s="62" t="s">
        <v>7</v>
      </c>
      <c r="C203" s="59" t="s">
        <v>218</v>
      </c>
      <c r="D203" s="51">
        <v>2212</v>
      </c>
      <c r="E203" s="51" t="s">
        <v>5</v>
      </c>
      <c r="F203" s="61" t="s">
        <v>226</v>
      </c>
      <c r="G203" s="73">
        <f>SUM(G204:G204)</f>
        <v>0</v>
      </c>
      <c r="H203" s="50">
        <f>SUM(H204:H204)</f>
        <v>0</v>
      </c>
      <c r="I203" s="53">
        <f t="shared" si="0"/>
        <v>0</v>
      </c>
      <c r="J203" s="53">
        <f>SUM(J204:J204)</f>
        <v>0</v>
      </c>
      <c r="K203" s="101"/>
    </row>
    <row r="204" spans="1:11" ht="13.5" thickBot="1">
      <c r="A204" s="362"/>
      <c r="B204" s="126"/>
      <c r="C204" s="82"/>
      <c r="D204" s="118"/>
      <c r="E204" s="122">
        <v>6121</v>
      </c>
      <c r="F204" s="77" t="s">
        <v>59</v>
      </c>
      <c r="G204" s="116">
        <v>0</v>
      </c>
      <c r="H204" s="119">
        <v>0</v>
      </c>
      <c r="I204" s="120"/>
      <c r="J204" s="120">
        <f>H204+I204</f>
        <v>0</v>
      </c>
      <c r="K204" s="101"/>
    </row>
    <row r="205" spans="1:11" ht="12.75">
      <c r="A205" s="362"/>
      <c r="B205" s="62" t="s">
        <v>7</v>
      </c>
      <c r="C205" s="59" t="s">
        <v>219</v>
      </c>
      <c r="D205" s="51">
        <v>2212</v>
      </c>
      <c r="E205" s="51" t="s">
        <v>5</v>
      </c>
      <c r="F205" s="52" t="s">
        <v>227</v>
      </c>
      <c r="G205" s="50">
        <f>SUM(G206:G206)</f>
        <v>0</v>
      </c>
      <c r="H205" s="50">
        <f>SUM(H206:H206)</f>
        <v>401.2</v>
      </c>
      <c r="I205" s="53">
        <f t="shared" si="0"/>
        <v>0</v>
      </c>
      <c r="J205" s="53">
        <f>SUM(J206:J206)</f>
        <v>401.2</v>
      </c>
      <c r="K205" s="101"/>
    </row>
    <row r="206" spans="1:11" ht="13.5" thickBot="1">
      <c r="A206" s="362"/>
      <c r="B206" s="144"/>
      <c r="C206" s="92"/>
      <c r="D206" s="145"/>
      <c r="E206" s="146">
        <v>6121</v>
      </c>
      <c r="F206" s="76" t="s">
        <v>59</v>
      </c>
      <c r="G206" s="119">
        <v>0</v>
      </c>
      <c r="H206" s="119">
        <v>401.2</v>
      </c>
      <c r="I206" s="120"/>
      <c r="J206" s="120">
        <f>H206+I206</f>
        <v>401.2</v>
      </c>
      <c r="K206" s="101"/>
    </row>
    <row r="207" spans="1:11" ht="12.75">
      <c r="A207" s="362"/>
      <c r="B207" s="62" t="s">
        <v>7</v>
      </c>
      <c r="C207" s="59" t="s">
        <v>220</v>
      </c>
      <c r="D207" s="51">
        <v>2212</v>
      </c>
      <c r="E207" s="51" t="s">
        <v>5</v>
      </c>
      <c r="F207" s="61" t="s">
        <v>228</v>
      </c>
      <c r="G207" s="73">
        <f>SUM(G208:G208)</f>
        <v>0</v>
      </c>
      <c r="H207" s="50">
        <f>SUM(H208:H208)</f>
        <v>388.8</v>
      </c>
      <c r="I207" s="53">
        <f t="shared" si="0"/>
        <v>0</v>
      </c>
      <c r="J207" s="53">
        <f>SUM(J208:J208)</f>
        <v>388.8</v>
      </c>
      <c r="K207" s="101"/>
    </row>
    <row r="208" spans="1:11" ht="13.5" thickBot="1">
      <c r="A208" s="362"/>
      <c r="B208" s="126"/>
      <c r="C208" s="82"/>
      <c r="D208" s="118"/>
      <c r="E208" s="122">
        <v>6121</v>
      </c>
      <c r="F208" s="77" t="s">
        <v>59</v>
      </c>
      <c r="G208" s="116">
        <v>0</v>
      </c>
      <c r="H208" s="119">
        <v>388.8</v>
      </c>
      <c r="I208" s="120"/>
      <c r="J208" s="120">
        <f>H208+I208</f>
        <v>388.8</v>
      </c>
      <c r="K208" s="101"/>
    </row>
    <row r="209" spans="1:11" ht="12.75">
      <c r="A209" s="362"/>
      <c r="B209" s="62" t="s">
        <v>7</v>
      </c>
      <c r="C209" s="59" t="s">
        <v>221</v>
      </c>
      <c r="D209" s="51">
        <v>2212</v>
      </c>
      <c r="E209" s="51" t="s">
        <v>5</v>
      </c>
      <c r="F209" s="52" t="s">
        <v>229</v>
      </c>
      <c r="G209" s="50">
        <f>SUM(G210:G210)</f>
        <v>0</v>
      </c>
      <c r="H209" s="50">
        <f>SUM(H210:H210)</f>
        <v>392.4</v>
      </c>
      <c r="I209" s="53">
        <f t="shared" si="0"/>
        <v>0</v>
      </c>
      <c r="J209" s="53">
        <f>SUM(J210:J210)</f>
        <v>392.4</v>
      </c>
      <c r="K209" s="101"/>
    </row>
    <row r="210" spans="1:11" ht="13.5" thickBot="1">
      <c r="A210" s="362"/>
      <c r="B210" s="126"/>
      <c r="C210" s="82"/>
      <c r="D210" s="118"/>
      <c r="E210" s="122">
        <v>6121</v>
      </c>
      <c r="F210" s="77" t="s">
        <v>59</v>
      </c>
      <c r="G210" s="119">
        <v>0</v>
      </c>
      <c r="H210" s="119">
        <v>392.4</v>
      </c>
      <c r="I210" s="120"/>
      <c r="J210" s="120">
        <f>H210+I210</f>
        <v>392.4</v>
      </c>
      <c r="K210" s="101"/>
    </row>
    <row r="211" spans="1:11" ht="12.75">
      <c r="A211" s="362"/>
      <c r="B211" s="62" t="s">
        <v>7</v>
      </c>
      <c r="C211" s="59" t="s">
        <v>222</v>
      </c>
      <c r="D211" s="51">
        <v>2212</v>
      </c>
      <c r="E211" s="51" t="s">
        <v>5</v>
      </c>
      <c r="F211" s="61" t="s">
        <v>230</v>
      </c>
      <c r="G211" s="73">
        <f>SUM(G212:G212)</f>
        <v>0</v>
      </c>
      <c r="H211" s="50">
        <f>SUM(H212:H212)</f>
        <v>357.552</v>
      </c>
      <c r="I211" s="53">
        <f t="shared" si="0"/>
        <v>0</v>
      </c>
      <c r="J211" s="53">
        <f>SUM(J212:J212)</f>
        <v>357.552</v>
      </c>
      <c r="K211" s="101"/>
    </row>
    <row r="212" spans="1:11" ht="13.5" thickBot="1">
      <c r="A212" s="362"/>
      <c r="B212" s="126"/>
      <c r="C212" s="82"/>
      <c r="D212" s="118"/>
      <c r="E212" s="122">
        <v>6121</v>
      </c>
      <c r="F212" s="77" t="s">
        <v>59</v>
      </c>
      <c r="G212" s="116">
        <v>0</v>
      </c>
      <c r="H212" s="109">
        <v>357.552</v>
      </c>
      <c r="I212" s="120"/>
      <c r="J212" s="120">
        <f>H212+I212</f>
        <v>357.552</v>
      </c>
      <c r="K212" s="101"/>
    </row>
    <row r="213" spans="1:11" ht="12.75">
      <c r="A213" s="362"/>
      <c r="B213" s="62" t="s">
        <v>7</v>
      </c>
      <c r="C213" s="59" t="s">
        <v>223</v>
      </c>
      <c r="D213" s="51">
        <v>2212</v>
      </c>
      <c r="E213" s="51" t="s">
        <v>5</v>
      </c>
      <c r="F213" s="52" t="s">
        <v>231</v>
      </c>
      <c r="G213" s="50">
        <f>SUM(G214:G214)</f>
        <v>0</v>
      </c>
      <c r="H213" s="50">
        <f>SUM(H214:H214)</f>
        <v>355.2</v>
      </c>
      <c r="I213" s="53">
        <f t="shared" si="0"/>
        <v>0</v>
      </c>
      <c r="J213" s="53">
        <f>SUM(J214:J214)</f>
        <v>355.2</v>
      </c>
      <c r="K213" s="101"/>
    </row>
    <row r="214" spans="1:11" ht="13.5" thickBot="1">
      <c r="A214" s="362"/>
      <c r="B214" s="144"/>
      <c r="C214" s="92"/>
      <c r="D214" s="145"/>
      <c r="E214" s="146">
        <v>6121</v>
      </c>
      <c r="F214" s="76" t="s">
        <v>59</v>
      </c>
      <c r="G214" s="119">
        <v>0</v>
      </c>
      <c r="H214" s="119">
        <v>355.2</v>
      </c>
      <c r="I214" s="120"/>
      <c r="J214" s="120">
        <f>H214+I214</f>
        <v>355.2</v>
      </c>
      <c r="K214" s="101"/>
    </row>
    <row r="215" spans="1:11" ht="12.75">
      <c r="A215" s="362"/>
      <c r="B215" s="62" t="s">
        <v>7</v>
      </c>
      <c r="C215" s="59" t="s">
        <v>224</v>
      </c>
      <c r="D215" s="51">
        <v>2212</v>
      </c>
      <c r="E215" s="51" t="s">
        <v>5</v>
      </c>
      <c r="F215" s="61" t="s">
        <v>232</v>
      </c>
      <c r="G215" s="50">
        <f>SUM(G216:G216)</f>
        <v>0</v>
      </c>
      <c r="H215" s="50">
        <f>SUM(H216:H216)</f>
        <v>382.8</v>
      </c>
      <c r="I215" s="53">
        <f t="shared" si="0"/>
        <v>0</v>
      </c>
      <c r="J215" s="53">
        <f>SUM(J216:J216)</f>
        <v>382.8</v>
      </c>
      <c r="K215" s="101"/>
    </row>
    <row r="216" spans="1:11" ht="13.5" thickBot="1">
      <c r="A216" s="362"/>
      <c r="B216" s="126"/>
      <c r="C216" s="82"/>
      <c r="D216" s="118"/>
      <c r="E216" s="122">
        <v>6121</v>
      </c>
      <c r="F216" s="77" t="s">
        <v>59</v>
      </c>
      <c r="G216" s="119">
        <v>0</v>
      </c>
      <c r="H216" s="119">
        <v>382.8</v>
      </c>
      <c r="I216" s="120"/>
      <c r="J216" s="120">
        <f>H216+I216</f>
        <v>382.8</v>
      </c>
      <c r="K216" s="101"/>
    </row>
    <row r="217" spans="1:11" ht="12.75">
      <c r="A217" s="362"/>
      <c r="B217" s="62" t="s">
        <v>7</v>
      </c>
      <c r="C217" s="59" t="s">
        <v>234</v>
      </c>
      <c r="D217" s="51">
        <v>2212</v>
      </c>
      <c r="E217" s="51" t="s">
        <v>5</v>
      </c>
      <c r="F217" s="80" t="s">
        <v>235</v>
      </c>
      <c r="G217" s="50">
        <f>SUM(G218:G218)</f>
        <v>0</v>
      </c>
      <c r="H217" s="50">
        <f>SUM(H218:H218)</f>
        <v>3479.618</v>
      </c>
      <c r="I217" s="53">
        <f>SUM(I218:I218)</f>
        <v>0</v>
      </c>
      <c r="J217" s="53">
        <f>SUM(J218:J218)</f>
        <v>3479.618</v>
      </c>
      <c r="K217" s="101"/>
    </row>
    <row r="218" spans="1:11" ht="13.5" thickBot="1">
      <c r="A218" s="362"/>
      <c r="B218" s="126"/>
      <c r="C218" s="82"/>
      <c r="D218" s="118"/>
      <c r="E218" s="122">
        <v>5171</v>
      </c>
      <c r="F218" s="143" t="s">
        <v>72</v>
      </c>
      <c r="G218" s="119">
        <v>0</v>
      </c>
      <c r="H218" s="109">
        <v>3479.618</v>
      </c>
      <c r="I218" s="120"/>
      <c r="J218" s="120">
        <f>H218+I218</f>
        <v>3479.618</v>
      </c>
      <c r="K218" s="101"/>
    </row>
    <row r="219" spans="1:11" ht="12.75">
      <c r="A219" s="362"/>
      <c r="B219" s="62" t="s">
        <v>7</v>
      </c>
      <c r="C219" s="59" t="s">
        <v>236</v>
      </c>
      <c r="D219" s="51">
        <v>2212</v>
      </c>
      <c r="E219" s="51" t="s">
        <v>5</v>
      </c>
      <c r="F219" s="80" t="s">
        <v>237</v>
      </c>
      <c r="G219" s="50">
        <f>SUM(G220:G221)</f>
        <v>0</v>
      </c>
      <c r="H219" s="50">
        <f>SUM(H220:H221)</f>
        <v>17358.668</v>
      </c>
      <c r="I219" s="50">
        <f>SUM(I220:I221)</f>
        <v>-0.19200000000000728</v>
      </c>
      <c r="J219" s="53">
        <f>SUM(J220:J221)</f>
        <v>17358.476000000002</v>
      </c>
      <c r="K219" s="101"/>
    </row>
    <row r="220" spans="1:11" ht="12.75">
      <c r="A220" s="362"/>
      <c r="B220" s="104"/>
      <c r="C220" s="87"/>
      <c r="D220" s="88"/>
      <c r="E220" s="128">
        <v>6121</v>
      </c>
      <c r="F220" s="93" t="s">
        <v>59</v>
      </c>
      <c r="G220" s="109">
        <v>0</v>
      </c>
      <c r="H220" s="123">
        <f>15583.616/2+402+1372.86/2</f>
        <v>8880.238000000001</v>
      </c>
      <c r="I220" s="123"/>
      <c r="J220" s="123">
        <f>H220+I220</f>
        <v>8880.238000000001</v>
      </c>
      <c r="K220" s="101"/>
    </row>
    <row r="221" spans="1:11" ht="13.5" thickBot="1">
      <c r="A221" s="362"/>
      <c r="B221" s="126"/>
      <c r="C221" s="121" t="s">
        <v>95</v>
      </c>
      <c r="D221" s="118"/>
      <c r="E221" s="122">
        <v>6121</v>
      </c>
      <c r="F221" s="77" t="s">
        <v>59</v>
      </c>
      <c r="G221" s="119">
        <v>0</v>
      </c>
      <c r="H221" s="120">
        <f>15584/2+1372.86/2</f>
        <v>8478.43</v>
      </c>
      <c r="I221" s="120">
        <f>-15584/2+15583.616/2</f>
        <v>-0.19200000000000728</v>
      </c>
      <c r="J221" s="120">
        <f>H221+I221</f>
        <v>8478.238000000001</v>
      </c>
      <c r="K221" s="101"/>
    </row>
    <row r="222" spans="1:11" ht="12.75">
      <c r="A222" s="362"/>
      <c r="B222" s="62" t="s">
        <v>7</v>
      </c>
      <c r="C222" s="59" t="s">
        <v>238</v>
      </c>
      <c r="D222" s="51">
        <v>2212</v>
      </c>
      <c r="E222" s="51" t="s">
        <v>5</v>
      </c>
      <c r="F222" s="61" t="s">
        <v>240</v>
      </c>
      <c r="G222" s="73">
        <f>SUM(G223:G223)</f>
        <v>0</v>
      </c>
      <c r="H222" s="53">
        <f>SUM(H223:H223)</f>
        <v>650</v>
      </c>
      <c r="I222" s="53">
        <f>SUM(I223:I223)</f>
        <v>0</v>
      </c>
      <c r="J222" s="53">
        <f>SUM(J223:J223)</f>
        <v>650</v>
      </c>
      <c r="K222" s="101"/>
    </row>
    <row r="223" spans="1:11" ht="13.5" thickBot="1">
      <c r="A223" s="362"/>
      <c r="B223" s="126"/>
      <c r="C223" s="82"/>
      <c r="D223" s="118"/>
      <c r="E223" s="122">
        <v>6121</v>
      </c>
      <c r="F223" s="77" t="s">
        <v>59</v>
      </c>
      <c r="G223" s="116">
        <v>0</v>
      </c>
      <c r="H223" s="120">
        <v>650</v>
      </c>
      <c r="I223" s="120"/>
      <c r="J223" s="120">
        <f>H223+I223</f>
        <v>650</v>
      </c>
      <c r="K223" s="101"/>
    </row>
    <row r="224" spans="1:11" ht="12.75">
      <c r="A224" s="362"/>
      <c r="B224" s="62" t="s">
        <v>7</v>
      </c>
      <c r="C224" s="59" t="s">
        <v>239</v>
      </c>
      <c r="D224" s="51">
        <v>2212</v>
      </c>
      <c r="E224" s="51" t="s">
        <v>5</v>
      </c>
      <c r="F224" s="52" t="s">
        <v>241</v>
      </c>
      <c r="G224" s="50">
        <f>SUM(G225:G225)</f>
        <v>0</v>
      </c>
      <c r="H224" s="53">
        <f>SUM(H225:H225)</f>
        <v>300</v>
      </c>
      <c r="I224" s="53">
        <f>SUM(I225:I225)</f>
        <v>0</v>
      </c>
      <c r="J224" s="53">
        <f>SUM(J225:J225)</f>
        <v>300</v>
      </c>
      <c r="K224" s="101"/>
    </row>
    <row r="225" spans="1:11" ht="13.5" thickBot="1">
      <c r="A225" s="362"/>
      <c r="B225" s="126"/>
      <c r="C225" s="82"/>
      <c r="D225" s="118"/>
      <c r="E225" s="122">
        <v>6121</v>
      </c>
      <c r="F225" s="77" t="s">
        <v>59</v>
      </c>
      <c r="G225" s="119">
        <v>0</v>
      </c>
      <c r="H225" s="120">
        <v>300</v>
      </c>
      <c r="I225" s="120"/>
      <c r="J225" s="120">
        <f>H225+I225</f>
        <v>300</v>
      </c>
      <c r="K225" s="101"/>
    </row>
    <row r="226" spans="1:11" ht="13.5" customHeight="1">
      <c r="A226" s="362"/>
      <c r="B226" s="62" t="s">
        <v>7</v>
      </c>
      <c r="C226" s="59" t="s">
        <v>242</v>
      </c>
      <c r="D226" s="51">
        <v>2212</v>
      </c>
      <c r="E226" s="51" t="s">
        <v>5</v>
      </c>
      <c r="F226" s="61" t="s">
        <v>244</v>
      </c>
      <c r="G226" s="73">
        <f>SUM(G227:G227)</f>
        <v>0</v>
      </c>
      <c r="H226" s="53">
        <f>SUM(H227:H227)</f>
        <v>17243.798</v>
      </c>
      <c r="I226" s="53">
        <f>SUM(I227:I227)</f>
        <v>0</v>
      </c>
      <c r="J226" s="53">
        <f>SUM(J227:J227)</f>
        <v>17243.798</v>
      </c>
      <c r="K226" s="101"/>
    </row>
    <row r="227" spans="1:11" ht="13.5" thickBot="1">
      <c r="A227" s="362"/>
      <c r="B227" s="126"/>
      <c r="C227" s="82"/>
      <c r="D227" s="118"/>
      <c r="E227" s="122">
        <v>6121</v>
      </c>
      <c r="F227" s="77" t="s">
        <v>59</v>
      </c>
      <c r="G227" s="116">
        <v>0</v>
      </c>
      <c r="H227" s="109">
        <f>16945.2+219.6+18+60.998</f>
        <v>17243.798</v>
      </c>
      <c r="I227" s="120"/>
      <c r="J227" s="120">
        <f>H227+I227</f>
        <v>17243.798</v>
      </c>
      <c r="K227" s="101"/>
    </row>
    <row r="228" spans="1:11" ht="12.75">
      <c r="A228" s="362"/>
      <c r="B228" s="62" t="s">
        <v>7</v>
      </c>
      <c r="C228" s="59" t="s">
        <v>243</v>
      </c>
      <c r="D228" s="51">
        <v>2212</v>
      </c>
      <c r="E228" s="51" t="s">
        <v>5</v>
      </c>
      <c r="F228" s="52" t="s">
        <v>245</v>
      </c>
      <c r="G228" s="50">
        <f>SUM(G229:G229)</f>
        <v>0</v>
      </c>
      <c r="H228" s="53">
        <f>SUM(H229:H229)</f>
        <v>7465.719</v>
      </c>
      <c r="I228" s="53">
        <f>SUM(I229:I229)</f>
        <v>0</v>
      </c>
      <c r="J228" s="53">
        <f>SUM(J229:J229)</f>
        <v>7465.719</v>
      </c>
      <c r="K228" s="101"/>
    </row>
    <row r="229" spans="1:11" ht="13.5" thickBot="1">
      <c r="A229" s="362"/>
      <c r="B229" s="126"/>
      <c r="C229" s="82"/>
      <c r="D229" s="118"/>
      <c r="E229" s="122">
        <v>6121</v>
      </c>
      <c r="F229" s="77" t="s">
        <v>59</v>
      </c>
      <c r="G229" s="119">
        <v>0</v>
      </c>
      <c r="H229" s="120">
        <f>7181.16+208.8+18+57.759</f>
        <v>7465.719</v>
      </c>
      <c r="I229" s="120"/>
      <c r="J229" s="120">
        <f>H229+I229</f>
        <v>7465.719</v>
      </c>
      <c r="K229" s="101"/>
    </row>
    <row r="230" spans="1:11" ht="12.75">
      <c r="A230" s="362"/>
      <c r="B230" s="62" t="s">
        <v>7</v>
      </c>
      <c r="C230" s="59" t="s">
        <v>246</v>
      </c>
      <c r="D230" s="51">
        <v>2212</v>
      </c>
      <c r="E230" s="51" t="s">
        <v>5</v>
      </c>
      <c r="F230" s="52" t="s">
        <v>247</v>
      </c>
      <c r="G230" s="50">
        <f>SUM(G231:G231)</f>
        <v>0</v>
      </c>
      <c r="H230" s="50">
        <f>SUM(H231:H231)</f>
        <v>547.2</v>
      </c>
      <c r="I230" s="50">
        <f>SUM(I231:I231)</f>
        <v>0</v>
      </c>
      <c r="J230" s="53">
        <f>SUM(J231:J231)</f>
        <v>547.2</v>
      </c>
      <c r="K230" s="101"/>
    </row>
    <row r="231" spans="1:11" ht="13.5" thickBot="1">
      <c r="A231" s="362"/>
      <c r="B231" s="126"/>
      <c r="C231" s="82"/>
      <c r="D231" s="118"/>
      <c r="E231" s="122">
        <v>6121</v>
      </c>
      <c r="F231" s="77" t="s">
        <v>59</v>
      </c>
      <c r="G231" s="119">
        <v>0</v>
      </c>
      <c r="H231" s="119">
        <f>600-52.8</f>
        <v>547.2</v>
      </c>
      <c r="I231" s="119"/>
      <c r="J231" s="120">
        <f>H231+I231</f>
        <v>547.2</v>
      </c>
      <c r="K231" s="101"/>
    </row>
    <row r="232" spans="1:11" ht="12.75">
      <c r="A232" s="362"/>
      <c r="B232" s="62" t="s">
        <v>7</v>
      </c>
      <c r="C232" s="59" t="s">
        <v>251</v>
      </c>
      <c r="D232" s="51">
        <v>2212</v>
      </c>
      <c r="E232" s="51" t="s">
        <v>5</v>
      </c>
      <c r="F232" s="61" t="s">
        <v>252</v>
      </c>
      <c r="G232" s="73">
        <f>SUM(G233:G233)</f>
        <v>0</v>
      </c>
      <c r="H232" s="53">
        <f>SUM(H233:H233)</f>
        <v>0</v>
      </c>
      <c r="I232" s="53">
        <f>SUM(I233:I233)</f>
        <v>0</v>
      </c>
      <c r="J232" s="53">
        <f>SUM(J233:J233)</f>
        <v>0</v>
      </c>
      <c r="K232" s="101"/>
    </row>
    <row r="233" spans="1:11" ht="13.5" thickBot="1">
      <c r="A233" s="362"/>
      <c r="B233" s="126"/>
      <c r="C233" s="82"/>
      <c r="D233" s="118"/>
      <c r="E233" s="122">
        <v>6121</v>
      </c>
      <c r="F233" s="77" t="s">
        <v>59</v>
      </c>
      <c r="G233" s="119">
        <v>0</v>
      </c>
      <c r="H233" s="120">
        <v>0</v>
      </c>
      <c r="I233" s="120"/>
      <c r="J233" s="120">
        <f>H233+I233</f>
        <v>0</v>
      </c>
      <c r="K233" s="101"/>
    </row>
    <row r="234" spans="1:11" ht="12.75">
      <c r="A234" s="362"/>
      <c r="B234" s="62" t="s">
        <v>7</v>
      </c>
      <c r="C234" s="59" t="s">
        <v>256</v>
      </c>
      <c r="D234" s="51">
        <v>2212</v>
      </c>
      <c r="E234" s="51" t="s">
        <v>5</v>
      </c>
      <c r="F234" s="61" t="s">
        <v>257</v>
      </c>
      <c r="G234" s="73">
        <f>SUM(G235:G235)</f>
        <v>0</v>
      </c>
      <c r="H234" s="53">
        <f>SUM(H235:H235)</f>
        <v>8372.796999999999</v>
      </c>
      <c r="I234" s="53">
        <f>SUM(I235:I235)</f>
        <v>0</v>
      </c>
      <c r="J234" s="53">
        <f>SUM(J235:J235)</f>
        <v>8372.796999999999</v>
      </c>
      <c r="K234" s="101"/>
    </row>
    <row r="235" spans="1:11" ht="13.5" thickBot="1">
      <c r="A235" s="362"/>
      <c r="B235" s="126"/>
      <c r="C235" s="82"/>
      <c r="D235" s="118"/>
      <c r="E235" s="122">
        <v>6121</v>
      </c>
      <c r="F235" s="77" t="s">
        <v>59</v>
      </c>
      <c r="G235" s="119">
        <v>0</v>
      </c>
      <c r="H235" s="120">
        <f>8078.797+222+24+48</f>
        <v>8372.796999999999</v>
      </c>
      <c r="I235" s="120"/>
      <c r="J235" s="120">
        <f>H235+I235</f>
        <v>8372.796999999999</v>
      </c>
      <c r="K235" s="101"/>
    </row>
    <row r="236" spans="1:11" ht="12.75">
      <c r="A236" s="362"/>
      <c r="B236" s="62" t="s">
        <v>7</v>
      </c>
      <c r="C236" s="59" t="s">
        <v>258</v>
      </c>
      <c r="D236" s="51">
        <v>2212</v>
      </c>
      <c r="E236" s="51" t="s">
        <v>5</v>
      </c>
      <c r="F236" s="61" t="s">
        <v>259</v>
      </c>
      <c r="G236" s="73">
        <f>SUM(G237:G237)</f>
        <v>0</v>
      </c>
      <c r="H236" s="53">
        <f>SUM(H237:H237)</f>
        <v>1100.4</v>
      </c>
      <c r="I236" s="53">
        <f>SUM(I237:I237)</f>
        <v>0</v>
      </c>
      <c r="J236" s="53">
        <f>SUM(J237:J237)</f>
        <v>1100.4</v>
      </c>
      <c r="K236" s="101"/>
    </row>
    <row r="237" spans="1:11" ht="13.5" thickBot="1">
      <c r="A237" s="362"/>
      <c r="B237" s="126"/>
      <c r="C237" s="82"/>
      <c r="D237" s="118"/>
      <c r="E237" s="122">
        <v>6121</v>
      </c>
      <c r="F237" s="77" t="s">
        <v>59</v>
      </c>
      <c r="G237" s="119">
        <v>0</v>
      </c>
      <c r="H237" s="120">
        <v>1100.4</v>
      </c>
      <c r="I237" s="120"/>
      <c r="J237" s="120">
        <f>H237+I237</f>
        <v>1100.4</v>
      </c>
      <c r="K237" s="101"/>
    </row>
    <row r="238" spans="1:11" ht="22.5">
      <c r="A238" s="362"/>
      <c r="B238" s="62" t="s">
        <v>7</v>
      </c>
      <c r="C238" s="59" t="s">
        <v>260</v>
      </c>
      <c r="D238" s="51">
        <v>2212</v>
      </c>
      <c r="E238" s="51" t="s">
        <v>5</v>
      </c>
      <c r="F238" s="61" t="s">
        <v>261</v>
      </c>
      <c r="G238" s="73">
        <f>SUM(G239:G239)</f>
        <v>0</v>
      </c>
      <c r="H238" s="53">
        <f>SUM(H239:H239)</f>
        <v>318</v>
      </c>
      <c r="I238" s="53">
        <f>SUM(I239:I239)</f>
        <v>0</v>
      </c>
      <c r="J238" s="53">
        <f>SUM(J239:J239)</f>
        <v>318</v>
      </c>
      <c r="K238" s="101"/>
    </row>
    <row r="239" spans="1:11" ht="13.5" thickBot="1">
      <c r="A239" s="362"/>
      <c r="B239" s="126"/>
      <c r="C239" s="82"/>
      <c r="D239" s="118"/>
      <c r="E239" s="122">
        <v>6121</v>
      </c>
      <c r="F239" s="77" t="s">
        <v>59</v>
      </c>
      <c r="G239" s="119">
        <v>0</v>
      </c>
      <c r="H239" s="120">
        <f>222+72+24</f>
        <v>318</v>
      </c>
      <c r="I239" s="120"/>
      <c r="J239" s="120">
        <f>H239+I239</f>
        <v>318</v>
      </c>
      <c r="K239" s="101"/>
    </row>
    <row r="240" spans="1:11" ht="22.5">
      <c r="A240" s="362"/>
      <c r="B240" s="62" t="s">
        <v>7</v>
      </c>
      <c r="C240" s="59" t="s">
        <v>353</v>
      </c>
      <c r="D240" s="51">
        <v>2212</v>
      </c>
      <c r="E240" s="51" t="s">
        <v>5</v>
      </c>
      <c r="F240" s="61" t="s">
        <v>355</v>
      </c>
      <c r="G240" s="73">
        <f>SUM(G241:G241)</f>
        <v>0</v>
      </c>
      <c r="H240" s="53">
        <f>SUM(H241:H241)</f>
        <v>0</v>
      </c>
      <c r="I240" s="53">
        <f>SUM(I241:I241)</f>
        <v>74.4</v>
      </c>
      <c r="J240" s="53">
        <f>SUM(J241:J241)</f>
        <v>74.4</v>
      </c>
      <c r="K240" s="101"/>
    </row>
    <row r="241" spans="1:11" ht="13.5" thickBot="1">
      <c r="A241" s="362"/>
      <c r="B241" s="126"/>
      <c r="C241" s="82"/>
      <c r="D241" s="118"/>
      <c r="E241" s="122">
        <v>6121</v>
      </c>
      <c r="F241" s="77" t="s">
        <v>59</v>
      </c>
      <c r="G241" s="119">
        <v>0</v>
      </c>
      <c r="H241" s="120">
        <v>0</v>
      </c>
      <c r="I241" s="120">
        <v>74.4</v>
      </c>
      <c r="J241" s="120">
        <f>H241+I241</f>
        <v>74.4</v>
      </c>
      <c r="K241" s="101"/>
    </row>
    <row r="242" spans="1:11" ht="12.75">
      <c r="A242" s="362"/>
      <c r="B242" s="62" t="s">
        <v>7</v>
      </c>
      <c r="C242" s="59" t="s">
        <v>354</v>
      </c>
      <c r="D242" s="51">
        <v>2212</v>
      </c>
      <c r="E242" s="51" t="s">
        <v>5</v>
      </c>
      <c r="F242" s="61" t="s">
        <v>356</v>
      </c>
      <c r="G242" s="73">
        <f>SUM(G243:G243)</f>
        <v>0</v>
      </c>
      <c r="H242" s="53">
        <f>SUM(H243:H243)</f>
        <v>0</v>
      </c>
      <c r="I242" s="53">
        <f>SUM(I243:I243)</f>
        <v>30</v>
      </c>
      <c r="J242" s="53">
        <f>SUM(J243:J243)</f>
        <v>30</v>
      </c>
      <c r="K242" s="101"/>
    </row>
    <row r="243" spans="1:11" ht="13.5" thickBot="1">
      <c r="A243" s="363"/>
      <c r="B243" s="126"/>
      <c r="C243" s="82"/>
      <c r="D243" s="118"/>
      <c r="E243" s="122">
        <v>6121</v>
      </c>
      <c r="F243" s="77" t="s">
        <v>59</v>
      </c>
      <c r="G243" s="119">
        <v>0</v>
      </c>
      <c r="H243" s="120">
        <v>0</v>
      </c>
      <c r="I243" s="120">
        <v>30</v>
      </c>
      <c r="J243" s="120">
        <f>H243+I243</f>
        <v>30</v>
      </c>
      <c r="K243" s="101"/>
    </row>
    <row r="244" spans="2:10" ht="12.75">
      <c r="B244" s="149"/>
      <c r="C244" s="96"/>
      <c r="D244" s="150"/>
      <c r="E244" s="151"/>
      <c r="F244" s="97"/>
      <c r="G244" s="125"/>
      <c r="H244" s="125"/>
      <c r="I244" s="125"/>
      <c r="J244" s="125"/>
    </row>
    <row r="245" spans="1:12" ht="12.75">
      <c r="A245" s="65" t="s">
        <v>57</v>
      </c>
      <c r="D245" s="65" t="s">
        <v>75</v>
      </c>
      <c r="E245" s="66"/>
      <c r="F245" s="125"/>
      <c r="G245" s="68"/>
      <c r="H245" s="68"/>
      <c r="I245" s="68"/>
      <c r="L245" s="1"/>
    </row>
    <row r="246" spans="1:12" ht="12.75">
      <c r="A246" s="66"/>
      <c r="C246" s="69"/>
      <c r="D246" s="66"/>
      <c r="E246" s="67"/>
      <c r="F246" s="66"/>
      <c r="G246" s="125"/>
      <c r="H246" s="68"/>
      <c r="I246" s="68"/>
      <c r="L246" s="1"/>
    </row>
    <row r="247" spans="1:10" ht="12.75">
      <c r="A247" s="71" t="s">
        <v>77</v>
      </c>
      <c r="B247" s="160"/>
      <c r="C247" s="160"/>
      <c r="D247" s="160"/>
      <c r="E247" s="160"/>
      <c r="F247" s="160"/>
      <c r="G247" s="160"/>
      <c r="H247" s="364">
        <f>I12*1000</f>
        <v>-476.99999999986176</v>
      </c>
      <c r="I247" s="364"/>
      <c r="J247" s="160" t="s">
        <v>248</v>
      </c>
    </row>
    <row r="248" spans="1:10" ht="12.75">
      <c r="A248" s="71" t="s">
        <v>89</v>
      </c>
      <c r="B248" s="160"/>
      <c r="C248" s="160"/>
      <c r="D248" s="160"/>
      <c r="E248" s="160"/>
      <c r="F248" s="160"/>
      <c r="G248" s="160"/>
      <c r="H248" s="364">
        <f>I35*1000</f>
        <v>1</v>
      </c>
      <c r="I248" s="364"/>
      <c r="J248" s="160" t="s">
        <v>248</v>
      </c>
    </row>
    <row r="249" spans="1:10" ht="12.75">
      <c r="A249" s="71" t="s">
        <v>99</v>
      </c>
      <c r="B249" s="160"/>
      <c r="C249" s="160"/>
      <c r="D249" s="160"/>
      <c r="E249" s="160"/>
      <c r="F249" s="160"/>
      <c r="G249" s="160"/>
      <c r="H249" s="364">
        <f>I67*1000</f>
        <v>156928</v>
      </c>
      <c r="I249" s="364"/>
      <c r="J249" s="160" t="s">
        <v>248</v>
      </c>
    </row>
    <row r="250" spans="1:10" ht="12.75">
      <c r="A250" s="71" t="s">
        <v>103</v>
      </c>
      <c r="B250" s="160"/>
      <c r="C250" s="160"/>
      <c r="D250" s="160"/>
      <c r="E250" s="160"/>
      <c r="F250" s="160"/>
      <c r="G250" s="160"/>
      <c r="H250" s="364">
        <f>I75*1000</f>
        <v>1</v>
      </c>
      <c r="I250" s="364"/>
      <c r="J250" s="160" t="s">
        <v>248</v>
      </c>
    </row>
    <row r="251" spans="1:10" ht="12.75">
      <c r="A251" s="71" t="s">
        <v>263</v>
      </c>
      <c r="B251" s="161"/>
      <c r="C251" s="161"/>
      <c r="D251" s="161"/>
      <c r="E251" s="161"/>
      <c r="F251" s="161"/>
      <c r="G251" s="161"/>
      <c r="H251" s="364">
        <f>I82*1000</f>
        <v>-869.0000000005966</v>
      </c>
      <c r="I251" s="364"/>
      <c r="J251" s="161" t="s">
        <v>248</v>
      </c>
    </row>
    <row r="252" spans="1:10" ht="12.75">
      <c r="A252" s="71" t="s">
        <v>338</v>
      </c>
      <c r="B252" s="161"/>
      <c r="C252" s="161"/>
      <c r="D252" s="161"/>
      <c r="E252" s="161"/>
      <c r="F252" s="161"/>
      <c r="G252" s="161"/>
      <c r="H252" s="364">
        <f>I83*1000</f>
        <v>-868.0000000003929</v>
      </c>
      <c r="I252" s="364"/>
      <c r="J252" s="161" t="s">
        <v>248</v>
      </c>
    </row>
    <row r="253" spans="1:10" ht="12.75">
      <c r="A253" s="71" t="s">
        <v>264</v>
      </c>
      <c r="B253" s="161"/>
      <c r="C253" s="161"/>
      <c r="D253" s="161"/>
      <c r="E253" s="161"/>
      <c r="F253" s="161"/>
      <c r="G253" s="161"/>
      <c r="H253" s="364">
        <f>I85*1000</f>
        <v>-636759.9999999998</v>
      </c>
      <c r="I253" s="364"/>
      <c r="J253" s="161" t="s">
        <v>248</v>
      </c>
    </row>
    <row r="254" spans="1:10" ht="12.75">
      <c r="A254" s="71" t="s">
        <v>339</v>
      </c>
      <c r="B254" s="161"/>
      <c r="C254" s="161"/>
      <c r="D254" s="161"/>
      <c r="E254" s="161"/>
      <c r="F254" s="161"/>
      <c r="G254" s="161"/>
      <c r="H254" s="364">
        <f>I86*1000</f>
        <v>-636759</v>
      </c>
      <c r="I254" s="364"/>
      <c r="J254" s="161" t="s">
        <v>248</v>
      </c>
    </row>
    <row r="255" spans="1:10" ht="12.75">
      <c r="A255" s="71" t="s">
        <v>265</v>
      </c>
      <c r="B255" s="161"/>
      <c r="C255" s="161"/>
      <c r="D255" s="161"/>
      <c r="E255" s="161"/>
      <c r="F255" s="161"/>
      <c r="G255" s="161"/>
      <c r="H255" s="364">
        <f>I91*1000</f>
        <v>-4425.000000000182</v>
      </c>
      <c r="I255" s="364"/>
      <c r="J255" s="161" t="s">
        <v>248</v>
      </c>
    </row>
    <row r="256" spans="1:10" ht="12.75">
      <c r="A256" s="71" t="s">
        <v>340</v>
      </c>
      <c r="B256" s="161"/>
      <c r="C256" s="161"/>
      <c r="D256" s="161"/>
      <c r="E256" s="161"/>
      <c r="F256" s="161"/>
      <c r="G256" s="161"/>
      <c r="H256" s="364">
        <f>I92*1000</f>
        <v>-4425.000000000182</v>
      </c>
      <c r="I256" s="364"/>
      <c r="J256" s="161" t="s">
        <v>248</v>
      </c>
    </row>
    <row r="257" spans="1:10" ht="12.75">
      <c r="A257" s="71" t="s">
        <v>131</v>
      </c>
      <c r="B257" s="161"/>
      <c r="C257" s="161"/>
      <c r="D257" s="161"/>
      <c r="E257" s="161"/>
      <c r="F257" s="161"/>
      <c r="G257" s="161"/>
      <c r="H257" s="364">
        <f>I97*1000</f>
        <v>-480844.9999999998</v>
      </c>
      <c r="I257" s="364"/>
      <c r="J257" s="161" t="s">
        <v>248</v>
      </c>
    </row>
    <row r="258" spans="1:10" ht="12.75">
      <c r="A258" s="71" t="s">
        <v>341</v>
      </c>
      <c r="B258" s="161"/>
      <c r="C258" s="161"/>
      <c r="D258" s="161"/>
      <c r="E258" s="161"/>
      <c r="F258" s="161"/>
      <c r="G258" s="161"/>
      <c r="H258" s="364">
        <f>I98*1000</f>
        <v>-480846</v>
      </c>
      <c r="I258" s="364"/>
      <c r="J258" s="161" t="s">
        <v>248</v>
      </c>
    </row>
    <row r="259" spans="1:10" ht="12.75">
      <c r="A259" s="71" t="s">
        <v>132</v>
      </c>
      <c r="H259" s="364">
        <f>I100*1000</f>
        <v>0.5</v>
      </c>
      <c r="I259" s="364"/>
      <c r="J259" s="161" t="s">
        <v>248</v>
      </c>
    </row>
    <row r="260" spans="1:10" ht="12.75">
      <c r="A260" s="71" t="s">
        <v>342</v>
      </c>
      <c r="H260" s="364">
        <f>I101*1000</f>
        <v>-279756.0000000003</v>
      </c>
      <c r="I260" s="364"/>
      <c r="J260" s="161" t="s">
        <v>248</v>
      </c>
    </row>
    <row r="261" spans="1:10" ht="12.75">
      <c r="A261" s="71" t="s">
        <v>133</v>
      </c>
      <c r="H261" s="364">
        <f>I103*1000</f>
        <v>-518.0000000000291</v>
      </c>
      <c r="I261" s="364"/>
      <c r="J261" s="161" t="s">
        <v>248</v>
      </c>
    </row>
    <row r="262" spans="1:10" ht="12.75">
      <c r="A262" s="71" t="s">
        <v>343</v>
      </c>
      <c r="H262" s="364">
        <f>I104*1000</f>
        <v>-518.0000000000291</v>
      </c>
      <c r="I262" s="364"/>
      <c r="J262" s="161" t="s">
        <v>248</v>
      </c>
    </row>
    <row r="263" spans="1:10" ht="12.75">
      <c r="A263" s="71" t="s">
        <v>134</v>
      </c>
      <c r="H263" s="364">
        <f>I106*1000</f>
        <v>0.5</v>
      </c>
      <c r="I263" s="364"/>
      <c r="J263" s="161" t="s">
        <v>248</v>
      </c>
    </row>
    <row r="264" spans="1:10" ht="12.75">
      <c r="A264" s="71" t="s">
        <v>344</v>
      </c>
      <c r="H264" s="364">
        <f>I107*1000</f>
        <v>-276022.9999999997</v>
      </c>
      <c r="I264" s="364"/>
      <c r="J264" s="161" t="s">
        <v>248</v>
      </c>
    </row>
    <row r="265" spans="1:10" ht="12.75">
      <c r="A265" s="71" t="s">
        <v>135</v>
      </c>
      <c r="H265" s="364">
        <f>I109*1000</f>
        <v>-275632.00000000006</v>
      </c>
      <c r="I265" s="364"/>
      <c r="J265" s="161" t="s">
        <v>248</v>
      </c>
    </row>
    <row r="266" spans="1:10" ht="12.75">
      <c r="A266" s="71" t="s">
        <v>345</v>
      </c>
      <c r="H266" s="364">
        <f>I110*1000</f>
        <v>-275632.00000000006</v>
      </c>
      <c r="I266" s="364"/>
      <c r="J266" s="161" t="s">
        <v>248</v>
      </c>
    </row>
    <row r="267" spans="1:10" ht="12.75">
      <c r="A267" s="71" t="s">
        <v>136</v>
      </c>
      <c r="H267" s="364">
        <f>I112*1000</f>
        <v>-8166.000000000167</v>
      </c>
      <c r="I267" s="364"/>
      <c r="J267" s="161" t="s">
        <v>248</v>
      </c>
    </row>
    <row r="268" spans="1:10" ht="12.75">
      <c r="A268" s="71" t="s">
        <v>346</v>
      </c>
      <c r="H268" s="364">
        <f>I113*1000</f>
        <v>-8167.000000000371</v>
      </c>
      <c r="I268" s="364"/>
      <c r="J268" s="161" t="s">
        <v>248</v>
      </c>
    </row>
    <row r="269" spans="1:10" ht="12.75">
      <c r="A269" s="71" t="s">
        <v>137</v>
      </c>
      <c r="H269" s="364">
        <f>I115*1000</f>
        <v>-81293.00000000012</v>
      </c>
      <c r="I269" s="364"/>
      <c r="J269" s="161" t="s">
        <v>248</v>
      </c>
    </row>
    <row r="270" spans="1:10" ht="12.75">
      <c r="A270" s="71" t="s">
        <v>347</v>
      </c>
      <c r="H270" s="364">
        <f>I116*1000</f>
        <v>-81293.00000000012</v>
      </c>
      <c r="I270" s="364"/>
      <c r="J270" s="161" t="s">
        <v>248</v>
      </c>
    </row>
    <row r="271" spans="1:10" ht="12.75">
      <c r="A271" s="71" t="s">
        <v>138</v>
      </c>
      <c r="H271" s="364">
        <f>I118*1000</f>
        <v>-25493.999999999687</v>
      </c>
      <c r="I271" s="364"/>
      <c r="J271" s="161" t="s">
        <v>248</v>
      </c>
    </row>
    <row r="272" spans="1:10" ht="12.75">
      <c r="A272" s="71" t="s">
        <v>348</v>
      </c>
      <c r="H272" s="364">
        <f>I119*1000</f>
        <v>-25493.999999999687</v>
      </c>
      <c r="I272" s="364"/>
      <c r="J272" s="161" t="s">
        <v>248</v>
      </c>
    </row>
    <row r="273" spans="1:10" ht="12.75">
      <c r="A273" s="71" t="s">
        <v>139</v>
      </c>
      <c r="H273" s="364">
        <f>I121*1000</f>
        <v>-30574.00000000007</v>
      </c>
      <c r="I273" s="364"/>
      <c r="J273" s="161" t="s">
        <v>248</v>
      </c>
    </row>
    <row r="274" spans="1:10" ht="12.75">
      <c r="A274" s="71" t="s">
        <v>349</v>
      </c>
      <c r="H274" s="364">
        <f>I122*1000</f>
        <v>-30575.000000000273</v>
      </c>
      <c r="I274" s="364"/>
      <c r="J274" s="161" t="s">
        <v>248</v>
      </c>
    </row>
    <row r="275" spans="1:10" ht="12.75">
      <c r="A275" s="71" t="s">
        <v>141</v>
      </c>
      <c r="H275" s="364">
        <f>I128*1000</f>
        <v>-716112.0000000001</v>
      </c>
      <c r="I275" s="364"/>
      <c r="J275" s="161" t="s">
        <v>248</v>
      </c>
    </row>
    <row r="276" spans="1:10" ht="12.75">
      <c r="A276" s="71" t="s">
        <v>142</v>
      </c>
      <c r="H276" s="364">
        <f>I130*1000</f>
        <v>-829947.9999999999</v>
      </c>
      <c r="I276" s="364"/>
      <c r="J276" s="161" t="s">
        <v>248</v>
      </c>
    </row>
    <row r="277" spans="1:10" ht="12.75">
      <c r="A277" s="71" t="s">
        <v>350</v>
      </c>
      <c r="H277" s="364">
        <f>I131*1000</f>
        <v>-829947.0000000001</v>
      </c>
      <c r="I277" s="364"/>
      <c r="J277" s="161" t="s">
        <v>248</v>
      </c>
    </row>
    <row r="278" spans="1:10" ht="12.75">
      <c r="A278" s="71" t="s">
        <v>173</v>
      </c>
      <c r="H278" s="364">
        <f>I145*1000</f>
        <v>-5961.999999999818</v>
      </c>
      <c r="I278" s="364"/>
      <c r="J278" s="161" t="s">
        <v>248</v>
      </c>
    </row>
    <row r="279" spans="1:10" ht="12.75">
      <c r="A279" s="71" t="s">
        <v>206</v>
      </c>
      <c r="H279" s="364">
        <f>I178*1000</f>
        <v>-483029</v>
      </c>
      <c r="I279" s="364"/>
      <c r="J279" s="161" t="s">
        <v>248</v>
      </c>
    </row>
    <row r="280" spans="1:10" ht="12.75">
      <c r="A280" s="71" t="s">
        <v>210</v>
      </c>
      <c r="H280" s="364">
        <f>I189*1000</f>
        <v>-101160.0000000003</v>
      </c>
      <c r="I280" s="364"/>
      <c r="J280" s="161" t="s">
        <v>248</v>
      </c>
    </row>
    <row r="281" spans="1:10" ht="12.75">
      <c r="A281" s="71" t="s">
        <v>351</v>
      </c>
      <c r="H281" s="364">
        <f>I190*1000</f>
        <v>-101159.99999999985</v>
      </c>
      <c r="I281" s="364"/>
      <c r="J281" s="161" t="s">
        <v>248</v>
      </c>
    </row>
    <row r="282" spans="1:10" ht="12.75">
      <c r="A282" s="71" t="s">
        <v>211</v>
      </c>
      <c r="H282" s="364">
        <f>I193*1000</f>
        <v>-1329.9999999999272</v>
      </c>
      <c r="I282" s="364"/>
      <c r="J282" s="161" t="s">
        <v>248</v>
      </c>
    </row>
    <row r="283" spans="1:10" ht="12.75">
      <c r="A283" s="71" t="s">
        <v>212</v>
      </c>
      <c r="H283" s="364">
        <f>I196*1000</f>
        <v>-599.999999999909</v>
      </c>
      <c r="I283" s="364"/>
      <c r="J283" s="161" t="s">
        <v>248</v>
      </c>
    </row>
    <row r="284" spans="1:10" ht="12.75">
      <c r="A284" s="71" t="s">
        <v>237</v>
      </c>
      <c r="H284" s="364">
        <f>I221*1000</f>
        <v>-192.00000000000728</v>
      </c>
      <c r="I284" s="364"/>
      <c r="J284" s="161" t="s">
        <v>248</v>
      </c>
    </row>
    <row r="285" spans="1:10" ht="12.75">
      <c r="A285" s="71" t="s">
        <v>355</v>
      </c>
      <c r="H285" s="364">
        <f>I241*1000</f>
        <v>74400</v>
      </c>
      <c r="I285" s="364"/>
      <c r="J285" s="161" t="s">
        <v>248</v>
      </c>
    </row>
    <row r="286" spans="1:10" ht="12.75">
      <c r="A286" s="71" t="s">
        <v>356</v>
      </c>
      <c r="H286" s="364">
        <f>I243*1000</f>
        <v>30000</v>
      </c>
      <c r="I286" s="364"/>
      <c r="J286" s="161" t="s">
        <v>248</v>
      </c>
    </row>
    <row r="287" ht="12.75">
      <c r="A287" s="71"/>
    </row>
    <row r="288" ht="12.75">
      <c r="A288" s="71"/>
    </row>
  </sheetData>
  <sheetProtection/>
  <mergeCells count="52">
    <mergeCell ref="A8:A243"/>
    <mergeCell ref="H285:I285"/>
    <mergeCell ref="H286:I286"/>
    <mergeCell ref="H283:I283"/>
    <mergeCell ref="H284:I284"/>
    <mergeCell ref="H272:I272"/>
    <mergeCell ref="H273:I273"/>
    <mergeCell ref="H274:I274"/>
    <mergeCell ref="H275:I275"/>
    <mergeCell ref="H266:I266"/>
    <mergeCell ref="H279:I279"/>
    <mergeCell ref="H267:I267"/>
    <mergeCell ref="H268:I268"/>
    <mergeCell ref="H277:I277"/>
    <mergeCell ref="H278:I278"/>
    <mergeCell ref="H269:I269"/>
    <mergeCell ref="H270:I270"/>
    <mergeCell ref="H271:I271"/>
    <mergeCell ref="H276:I276"/>
    <mergeCell ref="H259:I259"/>
    <mergeCell ref="H260:I260"/>
    <mergeCell ref="H281:I281"/>
    <mergeCell ref="H282:I282"/>
    <mergeCell ref="H261:I261"/>
    <mergeCell ref="H262:I262"/>
    <mergeCell ref="H263:I263"/>
    <mergeCell ref="H280:I280"/>
    <mergeCell ref="H264:I264"/>
    <mergeCell ref="H265:I265"/>
    <mergeCell ref="H252:I252"/>
    <mergeCell ref="H253:I253"/>
    <mergeCell ref="H254:I254"/>
    <mergeCell ref="H255:I255"/>
    <mergeCell ref="H258:I258"/>
    <mergeCell ref="H5:H6"/>
    <mergeCell ref="H247:I247"/>
    <mergeCell ref="H248:I248"/>
    <mergeCell ref="H249:I249"/>
    <mergeCell ref="H250:I250"/>
    <mergeCell ref="H251:I251"/>
    <mergeCell ref="H257:I257"/>
    <mergeCell ref="H256:I256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I5:J5"/>
  </mergeCells>
  <printOptions horizontalCentered="1"/>
  <pageMargins left="0.1968503937007874" right="0.1968503937007874" top="0.3937007874015748" bottom="0.3937007874015748" header="0" footer="0"/>
  <pageSetup fitToHeight="2" horizontalDpi="600" verticalDpi="600" orientation="portrait" paperSize="9" scale="90" r:id="rId1"/>
  <headerFooter alignWithMargins="0">
    <oddHeader>&amp;R&amp;F</oddHeader>
    <oddFooter>&amp;C&amp;A</oddFooter>
  </headerFooter>
  <rowBreaks count="2" manualBreakCount="2">
    <brk id="64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schroterp</cp:lastModifiedBy>
  <cp:lastPrinted>2012-11-28T08:52:13Z</cp:lastPrinted>
  <dcterms:created xsi:type="dcterms:W3CDTF">2006-09-25T08:49:57Z</dcterms:created>
  <dcterms:modified xsi:type="dcterms:W3CDTF">2012-11-28T08:58:06Z</dcterms:modified>
  <cp:category/>
  <cp:version/>
  <cp:contentType/>
  <cp:contentStatus/>
</cp:coreProperties>
</file>