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Bilance P+V" sheetId="1" r:id="rId1"/>
    <sheet name="2406" sheetId="2" r:id="rId2"/>
  </sheets>
  <definedNames>
    <definedName name="_xlnm.Print_Titles" localSheetId="1">'2406'!$5:$6</definedName>
  </definedNames>
  <calcPr fullCalcOnLoad="1"/>
</workbook>
</file>

<file path=xl/sharedStrings.xml><?xml version="1.0" encoding="utf-8"?>
<sst xmlns="http://schemas.openxmlformats.org/spreadsheetml/2006/main" count="353" uniqueCount="180">
  <si>
    <t>Úprava</t>
  </si>
  <si>
    <t>Ukazatel  (tis.Kč)</t>
  </si>
  <si>
    <t>Pol.</t>
  </si>
  <si>
    <t>tis. Kč</t>
  </si>
  <si>
    <t>kap.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</si>
  <si>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</si>
  <si>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</si>
  <si>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</si>
  <si>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</si>
  <si>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</si>
  <si>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</si>
  <si>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</si>
  <si>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</si>
  <si>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</si>
  <si>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</si>
  <si>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</si>
  <si>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</si>
  <si>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</si>
  <si>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</si>
  <si>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</si>
  <si>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</si>
  <si>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</si>
  <si>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</si>
  <si>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</si>
  <si>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</si>
  <si>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</si>
  <si>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</si>
  <si>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</si>
  <si>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</si>
  <si>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Bilance příjmů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</si>
  <si>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</si>
  <si>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</si>
  <si>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</si>
  <si>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Bilance výdajů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</si>
  <si>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</si>
  <si>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</si>
  <si>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</si>
  <si>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</si>
  <si>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</si>
  <si>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</si>
  <si>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</si>
  <si>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</si>
  <si>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</si>
  <si>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</si>
  <si>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</si>
  <si>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</si>
  <si>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</si>
  <si>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</si>
  <si>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</si>
  <si>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</si>
  <si>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</si>
  <si>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</si>
  <si>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</si>
  <si>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</si>
  <si>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</si>
  <si>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</si>
  <si>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běžné a kapitálové výdaje resortu celkem</t>
  </si>
  <si>
    <t>stavba nebo rekonstrukce silnice</t>
  </si>
  <si>
    <t>Kap.915-energie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</si>
  <si>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</si>
  <si>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</si>
  <si>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</si>
  <si>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</si>
  <si>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 xml:space="preserve">    resort.účel. inv. dot.</t>
  </si>
  <si>
    <t xml:space="preserve">    investiční dotace od obcí </t>
  </si>
  <si>
    <t>4. úvěr</t>
  </si>
  <si>
    <t>81xx</t>
  </si>
  <si>
    <t>5. uhrazené splátky krátkod.půjč.</t>
  </si>
  <si>
    <t>Rozpis výdajů kapitoly 924</t>
  </si>
  <si>
    <t>92406 - Úvěry</t>
  </si>
  <si>
    <t>opravy a udržování</t>
  </si>
  <si>
    <t xml:space="preserve">Ú V Ě R Y </t>
  </si>
  <si>
    <t>0681240000</t>
  </si>
  <si>
    <t>Oprava mostu 0358-1, Předlánce</t>
  </si>
  <si>
    <t>0681290000</t>
  </si>
  <si>
    <t>Oprava mostu 26836-8, Svitava</t>
  </si>
  <si>
    <t>0681430000</t>
  </si>
  <si>
    <t>0681470000</t>
  </si>
  <si>
    <t>0681500000</t>
  </si>
  <si>
    <t>0681530000</t>
  </si>
  <si>
    <t>Oprava mostu 2907-5, Fojtka</t>
  </si>
  <si>
    <t>nákup ostatních služeb</t>
  </si>
  <si>
    <t>0681650000</t>
  </si>
  <si>
    <t>0681670000</t>
  </si>
  <si>
    <t>Rekonstrukce 3 mostů na silnici III/26842</t>
  </si>
  <si>
    <t>0681690000</t>
  </si>
  <si>
    <t>0681700000</t>
  </si>
  <si>
    <t>0681710000</t>
  </si>
  <si>
    <t>0681730000</t>
  </si>
  <si>
    <t>0681750000</t>
  </si>
  <si>
    <t>Most přes potok ve Sloupu v Čechách ev.č. 26846-1</t>
  </si>
  <si>
    <t>Ohrazenice, rekonstrukce mostu ev.č. 01016-2</t>
  </si>
  <si>
    <t>Most ev.č. 282-015 v Železném Brodu</t>
  </si>
  <si>
    <t>Most přes občasnou vodoteč ev.č. 27921-4</t>
  </si>
  <si>
    <t>Most ev.č. 2601-0 přes Heřmánecký potok u Sušice</t>
  </si>
  <si>
    <t>0681780000</t>
  </si>
  <si>
    <t>0681800000</t>
  </si>
  <si>
    <t>0681810000</t>
  </si>
  <si>
    <t>Rekonstrukce III/2931-2 Levínská Olešnice</t>
  </si>
  <si>
    <t>0681820000</t>
  </si>
  <si>
    <t>0681830000</t>
  </si>
  <si>
    <t>Most ev.č. 26817-1 (Most přes potok v osadě Těšnov)</t>
  </si>
  <si>
    <t>Oprava mostu ev.č. 28711-2 Rychnov ŽMP</t>
  </si>
  <si>
    <t>Most přes Hrádecký potok, ev.č. 292-013</t>
  </si>
  <si>
    <t>Most přes řeku Popelku, ev.č. 284-002</t>
  </si>
  <si>
    <t>0681930000</t>
  </si>
  <si>
    <t>0681940000</t>
  </si>
  <si>
    <t>0681950000</t>
  </si>
  <si>
    <t>0681960000</t>
  </si>
  <si>
    <t>0681970000</t>
  </si>
  <si>
    <t>0681980000</t>
  </si>
  <si>
    <t>Most 01020-1 přes říčku Milnici v Harrachově</t>
  </si>
  <si>
    <t>Most 01023-2 přes Kamenici v Harrachově</t>
  </si>
  <si>
    <t>Most 2827-1 přes potok Veselka</t>
  </si>
  <si>
    <t>0681990000</t>
  </si>
  <si>
    <t>provizorní most 0358-1, Předlánce</t>
  </si>
  <si>
    <t>0682000000</t>
  </si>
  <si>
    <t>Rekonstrukce 3 mostů na silnici III/26839</t>
  </si>
  <si>
    <t>0682010000</t>
  </si>
  <si>
    <t>0682020000</t>
  </si>
  <si>
    <t>Most 282-017 Železný Brod</t>
  </si>
  <si>
    <t>Most Návarov přes Kamenici ev. č. 2886-2</t>
  </si>
  <si>
    <t>0682030000</t>
  </si>
  <si>
    <t>0682040000</t>
  </si>
  <si>
    <t>Most přes řeku Jizeru v Dolních Dušnicích ev.č. 29064-1</t>
  </si>
  <si>
    <t>Most přes Bílou Nisu Mšeno n. Nisou ev.č. 29029-4</t>
  </si>
  <si>
    <t>0682050000</t>
  </si>
  <si>
    <t>KOORDINÁTOR REALIZACE MOSTŮ - II.etapa</t>
  </si>
  <si>
    <t xml:space="preserve">   neinv. dotace ze zahraničí</t>
  </si>
  <si>
    <t>415x</t>
  </si>
  <si>
    <t xml:space="preserve">    investiční dotace ze zahraničí</t>
  </si>
  <si>
    <t>0682070000</t>
  </si>
  <si>
    <t>0682080000</t>
  </si>
  <si>
    <t>Rekonstrukce mostů na silnici II/286</t>
  </si>
  <si>
    <t>0682090000</t>
  </si>
  <si>
    <t>Nové Zákupy - Rekonstrukce most ev.č. 26836-20 přes zátopovou oblast Svitávky</t>
  </si>
  <si>
    <t>Oprava mostu přes řeku Smědou, Frýdlant 290-002</t>
  </si>
  <si>
    <t>Oprava mostu přes potok, Fojtka 2907-3</t>
  </si>
  <si>
    <t>Oprava mostu přes Svitávku, Nové Zákupy 26836-18</t>
  </si>
  <si>
    <t>0682100000</t>
  </si>
  <si>
    <t>0682110000</t>
  </si>
  <si>
    <t>Most přes Ploučnici v Novinách pod Ralskem - ev.č. 26831-1</t>
  </si>
  <si>
    <t>SR 2013</t>
  </si>
  <si>
    <t>UR I 2013</t>
  </si>
  <si>
    <t>UR II 2013</t>
  </si>
  <si>
    <t>1. Zapojení fondů z r. 2012</t>
  </si>
  <si>
    <t>2. Zapojení  zvl.účtů z r. 2012</t>
  </si>
  <si>
    <t>3. Zapojení výsl. hosp.2012</t>
  </si>
  <si>
    <t>Most v Jablonci nad Nisou 28733-1</t>
  </si>
  <si>
    <t>Most Jesenný 2881-5</t>
  </si>
  <si>
    <t>0682120000</t>
  </si>
  <si>
    <t>0682130000</t>
  </si>
  <si>
    <t>Most 28614-7 přes potok Tampelačku</t>
  </si>
  <si>
    <t>Most v Jablonném v Podještědí - ev.č. 270-016</t>
  </si>
  <si>
    <t>0681910000</t>
  </si>
  <si>
    <t>0681920000</t>
  </si>
  <si>
    <t>0682060000</t>
  </si>
  <si>
    <t>Most 286-011 přes potok u stodoly</t>
  </si>
  <si>
    <t>Modernizace silnice III/3511, most ev.č. 03511-4</t>
  </si>
  <si>
    <t>správce rozpočtových výdajů = odbor dopravy</t>
  </si>
  <si>
    <t>0682140000</t>
  </si>
  <si>
    <t>ZDROJOVÁ  A VÝDAJOVÁ ČÁST ROZPOČTU LK 2013</t>
  </si>
  <si>
    <t>0681420000</t>
  </si>
  <si>
    <t>Oprava mostu 2914-2, Bulovka</t>
  </si>
  <si>
    <t>Most 286-028 u Braunova Vrchu</t>
  </si>
  <si>
    <t>Most 293-004 Martinice v Krkonoších</t>
  </si>
  <si>
    <t>Most 292-003 přes Chuchelský potok</t>
  </si>
  <si>
    <t>Most 270-014 přes Panenský potok v Jablonném v P.</t>
  </si>
  <si>
    <t>Most 286-025 za garážemi u Vítkovic</t>
  </si>
  <si>
    <t>Most 2904-5a - Oldřichov v Hájích - demolice</t>
  </si>
  <si>
    <t>0681760000</t>
  </si>
  <si>
    <t>Most přes Valteřický potok ve Valteřicích ev.č. 2634-1</t>
  </si>
  <si>
    <t>Kap.926-dotační fond</t>
  </si>
  <si>
    <t>3.změna-RO č. 139/13</t>
  </si>
  <si>
    <t>0690630000</t>
  </si>
  <si>
    <t>0690640000</t>
  </si>
  <si>
    <t>0690650000</t>
  </si>
  <si>
    <t>II/592 Chrastava (I.etapa) - 3 mosty</t>
  </si>
  <si>
    <t>III/03513 a III/03515 Heřmanice - Dětřichov - 3 mosty</t>
  </si>
  <si>
    <t>III/0353 a III/0357 Víska - Višňová - Poustka - 5 mostů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</si>
</sst>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#,##0.000"/>
    <numFmt numFmtId="170" formatCode="000000####"/>
    <numFmt numFmtId="171" formatCode="00000000"/>
    <numFmt numFmtId="172" formatCode="0#########"/>
    <numFmt numFmtId="173" formatCode="#,##0.0000"/>
    <numFmt numFmtId="174" formatCode="#,##0.00000"/>
    <numFmt numFmtId="175" formatCode="#,##0.000000"/>
    <numFmt numFmtId="176" formatCode="0.000"/>
    <numFmt numFmtId="177" formatCode="0.0000"/>
    <numFmt numFmtId="178" formatCode="0.00000"/>
    <numFmt numFmtId="179" formatCode="0.000000"/>
    <numFmt numFmtId="180" formatCode="#,##0.000000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color indexed="10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right" vertical="center" wrapText="1"/>
    </xf>
    <xf numFmtId="4" fontId="11" fillId="0" borderId="25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righ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4" fontId="11" fillId="0" borderId="31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2" fillId="0" borderId="11" xfId="50" applyNumberFormat="1" applyFont="1" applyFill="1" applyBorder="1" applyAlignment="1">
      <alignment vertical="center"/>
      <protection/>
    </xf>
    <xf numFmtId="4" fontId="2" fillId="0" borderId="22" xfId="50" applyNumberFormat="1" applyFont="1" applyFill="1" applyBorder="1" applyAlignment="1">
      <alignment vertical="center"/>
      <protection/>
    </xf>
    <xf numFmtId="4" fontId="2" fillId="0" borderId="32" xfId="50" applyNumberFormat="1" applyFont="1" applyFill="1" applyBorder="1" applyAlignment="1">
      <alignment vertical="center"/>
      <protection/>
    </xf>
    <xf numFmtId="4" fontId="2" fillId="0" borderId="33" xfId="50" applyNumberFormat="1" applyFont="1" applyFill="1" applyBorder="1" applyAlignment="1">
      <alignment vertical="center"/>
      <protection/>
    </xf>
    <xf numFmtId="0" fontId="11" fillId="0" borderId="27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49" fontId="2" fillId="0" borderId="34" xfId="49" applyNumberFormat="1" applyFont="1" applyFill="1" applyBorder="1" applyAlignment="1">
      <alignment horizontal="center" vertical="center"/>
      <protection/>
    </xf>
    <xf numFmtId="1" fontId="2" fillId="0" borderId="11" xfId="50" applyNumberFormat="1" applyFont="1" applyFill="1" applyBorder="1" applyAlignment="1">
      <alignment horizontal="center" vertical="center"/>
      <protection/>
    </xf>
    <xf numFmtId="4" fontId="2" fillId="0" borderId="24" xfId="50" applyNumberFormat="1" applyFont="1" applyFill="1" applyBorder="1" applyAlignment="1">
      <alignment vertical="center"/>
      <protection/>
    </xf>
    <xf numFmtId="0" fontId="14" fillId="0" borderId="31" xfId="48" applyFont="1" applyFill="1" applyBorder="1" applyAlignment="1">
      <alignment vertical="center" wrapText="1"/>
      <protection/>
    </xf>
    <xf numFmtId="0" fontId="14" fillId="0" borderId="35" xfId="48" applyFont="1" applyFill="1" applyBorder="1" applyAlignment="1">
      <alignment vertical="center" wrapText="1"/>
      <protection/>
    </xf>
    <xf numFmtId="2" fontId="2" fillId="0" borderId="14" xfId="50" applyNumberFormat="1" applyFont="1" applyFill="1" applyBorder="1" applyAlignment="1">
      <alignment horizontal="left" vertical="center" wrapText="1"/>
      <protection/>
    </xf>
    <xf numFmtId="0" fontId="14" fillId="0" borderId="36" xfId="48" applyFont="1" applyFill="1" applyBorder="1" applyAlignment="1">
      <alignment vertical="center" wrapText="1"/>
      <protection/>
    </xf>
    <xf numFmtId="1" fontId="15" fillId="0" borderId="37" xfId="50" applyNumberFormat="1" applyFont="1" applyFill="1" applyBorder="1" applyAlignment="1">
      <alignment horizontal="center" vertical="center"/>
      <protection/>
    </xf>
    <xf numFmtId="49" fontId="2" fillId="0" borderId="30" xfId="49" applyNumberFormat="1" applyFont="1" applyFill="1" applyBorder="1" applyAlignment="1">
      <alignment horizontal="center" vertical="center"/>
      <protection/>
    </xf>
    <xf numFmtId="1" fontId="15" fillId="0" borderId="29" xfId="50" applyNumberFormat="1" applyFont="1" applyFill="1" applyBorder="1" applyAlignment="1">
      <alignment horizontal="center" vertical="center"/>
      <protection/>
    </xf>
    <xf numFmtId="0" fontId="14" fillId="0" borderId="18" xfId="48" applyFont="1" applyFill="1" applyBorder="1" applyAlignment="1">
      <alignment vertical="center" wrapText="1"/>
      <protection/>
    </xf>
    <xf numFmtId="1" fontId="2" fillId="0" borderId="34" xfId="5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" fillId="0" borderId="27" xfId="50" applyNumberFormat="1" applyFont="1" applyFill="1" applyBorder="1" applyAlignment="1">
      <alignment vertical="center"/>
      <protection/>
    </xf>
    <xf numFmtId="4" fontId="1" fillId="0" borderId="38" xfId="50" applyNumberFormat="1" applyFont="1" applyFill="1" applyBorder="1" applyAlignment="1">
      <alignment vertical="center"/>
      <protection/>
    </xf>
    <xf numFmtId="169" fontId="11" fillId="0" borderId="25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 vertical="center"/>
    </xf>
    <xf numFmtId="4" fontId="1" fillId="0" borderId="28" xfId="50" applyNumberFormat="1" applyFont="1" applyFill="1" applyBorder="1" applyAlignment="1">
      <alignment vertical="center"/>
      <protection/>
    </xf>
    <xf numFmtId="4" fontId="1" fillId="0" borderId="39" xfId="50" applyNumberFormat="1" applyFont="1" applyFill="1" applyBorder="1" applyAlignment="1">
      <alignment vertical="center"/>
      <protection/>
    </xf>
    <xf numFmtId="4" fontId="1" fillId="0" borderId="40" xfId="50" applyNumberFormat="1" applyFont="1" applyFill="1" applyBorder="1" applyAlignment="1">
      <alignment vertical="center"/>
      <protection/>
    </xf>
    <xf numFmtId="4" fontId="1" fillId="0" borderId="41" xfId="50" applyNumberFormat="1" applyFont="1" applyFill="1" applyBorder="1" applyAlignment="1">
      <alignment vertical="center"/>
      <protection/>
    </xf>
    <xf numFmtId="4" fontId="1" fillId="0" borderId="16" xfId="50" applyNumberFormat="1" applyFont="1" applyFill="1" applyBorder="1" applyAlignment="1">
      <alignment vertical="center"/>
      <protection/>
    </xf>
    <xf numFmtId="0" fontId="1" fillId="0" borderId="37" xfId="50" applyFont="1" applyFill="1" applyBorder="1" applyAlignment="1">
      <alignment horizontal="center" vertical="center"/>
      <protection/>
    </xf>
    <xf numFmtId="0" fontId="1" fillId="0" borderId="42" xfId="50" applyFont="1" applyFill="1" applyBorder="1" applyAlignment="1">
      <alignment vertical="center"/>
      <protection/>
    </xf>
    <xf numFmtId="4" fontId="10" fillId="0" borderId="17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174" fontId="11" fillId="0" borderId="25" xfId="0" applyNumberFormat="1" applyFont="1" applyFill="1" applyBorder="1" applyAlignment="1">
      <alignment horizontal="right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169" fontId="11" fillId="0" borderId="17" xfId="0" applyNumberFormat="1" applyFont="1" applyFill="1" applyBorder="1" applyAlignment="1">
      <alignment horizontal="right" vertical="center" wrapText="1"/>
    </xf>
    <xf numFmtId="4" fontId="11" fillId="0" borderId="25" xfId="0" applyNumberFormat="1" applyFont="1" applyFill="1" applyBorder="1" applyAlignment="1">
      <alignment horizontal="right" vertical="center" wrapText="1"/>
    </xf>
    <xf numFmtId="49" fontId="2" fillId="0" borderId="43" xfId="49" applyNumberFormat="1" applyFont="1" applyFill="1" applyBorder="1" applyAlignment="1">
      <alignment horizontal="center" vertical="center"/>
      <protection/>
    </xf>
    <xf numFmtId="4" fontId="10" fillId="0" borderId="34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0" borderId="37" xfId="0" applyNumberFormat="1" applyFont="1" applyBorder="1" applyAlignment="1">
      <alignment horizontal="right" vertical="center" wrapText="1"/>
    </xf>
    <xf numFmtId="4" fontId="11" fillId="0" borderId="29" xfId="0" applyNumberFormat="1" applyFont="1" applyFill="1" applyBorder="1" applyAlignment="1">
      <alignment horizontal="right" vertical="center" wrapText="1"/>
    </xf>
    <xf numFmtId="4" fontId="11" fillId="0" borderId="44" xfId="0" applyNumberFormat="1" applyFont="1" applyBorder="1" applyAlignment="1">
      <alignment horizontal="right" vertical="center" wrapText="1"/>
    </xf>
    <xf numFmtId="4" fontId="10" fillId="0" borderId="45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16" fillId="0" borderId="46" xfId="48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0" fontId="2" fillId="0" borderId="47" xfId="50" applyFont="1" applyFill="1" applyBorder="1" applyAlignment="1">
      <alignment horizontal="center"/>
      <protection/>
    </xf>
    <xf numFmtId="0" fontId="2" fillId="0" borderId="11" xfId="50" applyFont="1" applyFill="1" applyBorder="1" applyAlignment="1">
      <alignment horizontal="center"/>
      <protection/>
    </xf>
    <xf numFmtId="0" fontId="2" fillId="0" borderId="48" xfId="50" applyFont="1" applyFill="1" applyBorder="1" applyAlignment="1">
      <alignment horizontal="center" vertical="center"/>
      <protection/>
    </xf>
    <xf numFmtId="0" fontId="2" fillId="0" borderId="23" xfId="50" applyFont="1" applyFill="1" applyBorder="1" applyAlignment="1">
      <alignment horizontal="center" vertical="center"/>
      <protection/>
    </xf>
    <xf numFmtId="0" fontId="2" fillId="0" borderId="20" xfId="50" applyFont="1" applyFill="1" applyBorder="1" applyAlignment="1">
      <alignment horizontal="center" vertical="center"/>
      <protection/>
    </xf>
    <xf numFmtId="2" fontId="2" fillId="0" borderId="49" xfId="50" applyNumberFormat="1" applyFont="1" applyFill="1" applyBorder="1" applyAlignment="1">
      <alignment horizontal="center" vertical="center" wrapText="1"/>
      <protection/>
    </xf>
    <xf numFmtId="2" fontId="2" fillId="0" borderId="50" xfId="50" applyNumberFormat="1" applyFont="1" applyFill="1" applyBorder="1" applyAlignment="1">
      <alignment horizontal="center" vertical="center" wrapText="1"/>
      <protection/>
    </xf>
    <xf numFmtId="1" fontId="2" fillId="0" borderId="43" xfId="50" applyNumberFormat="1" applyFont="1" applyFill="1" applyBorder="1" applyAlignment="1">
      <alignment horizontal="center" vertical="center" wrapText="1"/>
      <protection/>
    </xf>
    <xf numFmtId="0" fontId="1" fillId="0" borderId="43" xfId="50" applyFont="1" applyFill="1" applyBorder="1" applyAlignment="1">
      <alignment horizontal="center" vertical="center"/>
      <protection/>
    </xf>
    <xf numFmtId="2" fontId="2" fillId="0" borderId="49" xfId="50" applyNumberFormat="1" applyFont="1" applyFill="1" applyBorder="1" applyAlignment="1">
      <alignment horizontal="center" vertical="center"/>
      <protection/>
    </xf>
    <xf numFmtId="2" fontId="2" fillId="0" borderId="50" xfId="50" applyNumberFormat="1" applyFont="1" applyFill="1" applyBorder="1" applyAlignment="1">
      <alignment horizontal="center" vertical="center"/>
      <protection/>
    </xf>
    <xf numFmtId="2" fontId="2" fillId="0" borderId="51" xfId="50" applyNumberFormat="1" applyFont="1" applyFill="1" applyBorder="1" applyAlignment="1">
      <alignment horizontal="center" vertical="center" wrapText="1"/>
      <protection/>
    </xf>
    <xf numFmtId="2" fontId="2" fillId="0" borderId="52" xfId="50" applyNumberFormat="1" applyFont="1" applyFill="1" applyBorder="1" applyAlignment="1">
      <alignment horizontal="center" vertical="center" wrapText="1"/>
      <protection/>
    </xf>
    <xf numFmtId="1" fontId="2" fillId="0" borderId="30" xfId="50" applyNumberFormat="1" applyFont="1" applyFill="1" applyBorder="1" applyAlignment="1">
      <alignment horizontal="center" vertical="center" wrapText="1"/>
      <protection/>
    </xf>
    <xf numFmtId="0" fontId="1" fillId="0" borderId="17" xfId="50" applyFont="1" applyFill="1" applyBorder="1" applyAlignment="1">
      <alignment horizontal="center" vertical="center"/>
      <protection/>
    </xf>
    <xf numFmtId="2" fontId="1" fillId="0" borderId="53" xfId="50" applyNumberFormat="1" applyFont="1" applyFill="1" applyBorder="1" applyAlignment="1">
      <alignment horizontal="center" vertical="center"/>
      <protection/>
    </xf>
    <xf numFmtId="1" fontId="1" fillId="0" borderId="29" xfId="50" applyNumberFormat="1" applyFont="1" applyFill="1" applyBorder="1" applyAlignment="1">
      <alignment horizontal="center" vertical="center"/>
      <protection/>
    </xf>
    <xf numFmtId="0" fontId="1" fillId="0" borderId="29" xfId="50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 vertical="center"/>
    </xf>
    <xf numFmtId="2" fontId="1" fillId="0" borderId="51" xfId="50" applyNumberFormat="1" applyFont="1" applyFill="1" applyBorder="1" applyAlignment="1">
      <alignment horizontal="center" vertical="center"/>
      <protection/>
    </xf>
    <xf numFmtId="1" fontId="1" fillId="0" borderId="37" xfId="50" applyNumberFormat="1" applyFont="1" applyFill="1" applyBorder="1" applyAlignment="1">
      <alignment horizontal="center" vertical="center"/>
      <protection/>
    </xf>
    <xf numFmtId="2" fontId="2" fillId="0" borderId="14" xfId="50" applyNumberFormat="1" applyFont="1" applyFill="1" applyBorder="1" applyAlignment="1">
      <alignment horizontal="left" vertical="center"/>
      <protection/>
    </xf>
    <xf numFmtId="4" fontId="2" fillId="0" borderId="33" xfId="0" applyNumberFormat="1" applyFont="1" applyFill="1" applyBorder="1" applyAlignment="1">
      <alignment vertical="center"/>
    </xf>
    <xf numFmtId="4" fontId="1" fillId="0" borderId="41" xfId="0" applyNumberFormat="1" applyFont="1" applyFill="1" applyBorder="1" applyAlignment="1">
      <alignment vertical="center"/>
    </xf>
    <xf numFmtId="169" fontId="0" fillId="0" borderId="0" xfId="0" applyNumberFormat="1" applyFill="1" applyAlignment="1">
      <alignment vertical="center"/>
    </xf>
    <xf numFmtId="0" fontId="1" fillId="0" borderId="54" xfId="50" applyFont="1" applyFill="1" applyBorder="1" applyAlignment="1">
      <alignment vertical="center"/>
      <protection/>
    </xf>
    <xf numFmtId="0" fontId="1" fillId="0" borderId="36" xfId="50" applyFont="1" applyFill="1" applyBorder="1" applyAlignment="1">
      <alignment vertical="center"/>
      <protection/>
    </xf>
    <xf numFmtId="0" fontId="1" fillId="0" borderId="42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2" fontId="2" fillId="0" borderId="55" xfId="50" applyNumberFormat="1" applyFont="1" applyFill="1" applyBorder="1" applyAlignment="1">
      <alignment horizontal="center" vertical="center" wrapText="1"/>
      <protection/>
    </xf>
    <xf numFmtId="0" fontId="1" fillId="0" borderId="30" xfId="50" applyFont="1" applyFill="1" applyBorder="1" applyAlignment="1">
      <alignment horizontal="center" vertical="center"/>
      <protection/>
    </xf>
    <xf numFmtId="4" fontId="1" fillId="0" borderId="56" xfId="50" applyNumberFormat="1" applyFont="1" applyFill="1" applyBorder="1" applyAlignment="1">
      <alignment vertical="center"/>
      <protection/>
    </xf>
    <xf numFmtId="1" fontId="15" fillId="0" borderId="17" xfId="50" applyNumberFormat="1" applyFont="1" applyFill="1" applyBorder="1" applyAlignment="1">
      <alignment horizontal="center" vertical="center"/>
      <protection/>
    </xf>
    <xf numFmtId="1" fontId="1" fillId="0" borderId="17" xfId="50" applyNumberFormat="1" applyFont="1" applyFill="1" applyBorder="1" applyAlignment="1">
      <alignment horizontal="center" vertical="center"/>
      <protection/>
    </xf>
    <xf numFmtId="0" fontId="1" fillId="0" borderId="18" xfId="50" applyFont="1" applyFill="1" applyBorder="1" applyAlignment="1">
      <alignment vertical="center"/>
      <protection/>
    </xf>
    <xf numFmtId="4" fontId="1" fillId="0" borderId="16" xfId="0" applyNumberFormat="1" applyFont="1" applyFill="1" applyBorder="1" applyAlignment="1">
      <alignment vertical="center"/>
    </xf>
    <xf numFmtId="0" fontId="1" fillId="0" borderId="44" xfId="50" applyFont="1" applyFill="1" applyBorder="1" applyAlignment="1">
      <alignment vertical="center"/>
      <protection/>
    </xf>
    <xf numFmtId="0" fontId="1" fillId="0" borderId="31" xfId="50" applyFont="1" applyFill="1" applyBorder="1" applyAlignment="1">
      <alignment vertical="center"/>
      <protection/>
    </xf>
    <xf numFmtId="49" fontId="2" fillId="0" borderId="17" xfId="49" applyNumberFormat="1" applyFont="1" applyFill="1" applyBorder="1" applyAlignment="1">
      <alignment horizontal="center" vertical="center"/>
      <protection/>
    </xf>
    <xf numFmtId="1" fontId="2" fillId="0" borderId="17" xfId="50" applyNumberFormat="1" applyFont="1" applyFill="1" applyBorder="1" applyAlignment="1">
      <alignment horizontal="center" vertical="center" wrapText="1"/>
      <protection/>
    </xf>
    <xf numFmtId="4" fontId="1" fillId="0" borderId="27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>
      <alignment horizontal="right" wrapText="1"/>
    </xf>
    <xf numFmtId="4" fontId="11" fillId="0" borderId="25" xfId="0" applyNumberFormat="1" applyFont="1" applyBorder="1" applyAlignment="1">
      <alignment horizontal="right" wrapText="1"/>
    </xf>
    <xf numFmtId="4" fontId="11" fillId="0" borderId="26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4" fontId="2" fillId="0" borderId="13" xfId="50" applyNumberFormat="1" applyFont="1" applyFill="1" applyBorder="1" applyAlignment="1">
      <alignment vertical="center"/>
      <protection/>
    </xf>
    <xf numFmtId="0" fontId="2" fillId="0" borderId="49" xfId="51" applyFont="1" applyFill="1" applyBorder="1" applyAlignment="1">
      <alignment horizontal="center" vertical="center"/>
      <protection/>
    </xf>
    <xf numFmtId="0" fontId="2" fillId="0" borderId="34" xfId="51" applyFont="1" applyFill="1" applyBorder="1" applyAlignment="1">
      <alignment horizontal="center" vertical="center"/>
      <protection/>
    </xf>
    <xf numFmtId="0" fontId="2" fillId="0" borderId="46" xfId="51" applyFont="1" applyFill="1" applyBorder="1" applyAlignment="1">
      <alignment vertical="center"/>
      <protection/>
    </xf>
    <xf numFmtId="4" fontId="2" fillId="0" borderId="33" xfId="51" applyNumberFormat="1" applyFont="1" applyFill="1" applyBorder="1" applyAlignment="1">
      <alignment vertical="center"/>
      <protection/>
    </xf>
    <xf numFmtId="0" fontId="1" fillId="0" borderId="51" xfId="51" applyFont="1" applyFill="1" applyBorder="1" applyAlignment="1">
      <alignment horizontal="center" vertical="center"/>
      <protection/>
    </xf>
    <xf numFmtId="1" fontId="1" fillId="0" borderId="43" xfId="51" applyNumberFormat="1" applyFont="1" applyFill="1" applyBorder="1" applyAlignment="1">
      <alignment horizontal="center" vertical="center"/>
      <protection/>
    </xf>
    <xf numFmtId="1" fontId="1" fillId="0" borderId="37" xfId="51" applyNumberFormat="1" applyFont="1" applyFill="1" applyBorder="1" applyAlignment="1">
      <alignment horizontal="center" vertical="center"/>
      <protection/>
    </xf>
    <xf numFmtId="4" fontId="1" fillId="0" borderId="41" xfId="51" applyNumberFormat="1" applyFont="1" applyFill="1" applyBorder="1" applyAlignment="1">
      <alignment vertical="center"/>
      <protection/>
    </xf>
    <xf numFmtId="0" fontId="2" fillId="0" borderId="46" xfId="51" applyFont="1" applyFill="1" applyBorder="1" applyAlignment="1">
      <alignment vertical="center" wrapText="1"/>
      <protection/>
    </xf>
    <xf numFmtId="4" fontId="2" fillId="0" borderId="32" xfId="51" applyNumberFormat="1" applyFont="1" applyFill="1" applyBorder="1" applyAlignment="1">
      <alignment vertical="center"/>
      <protection/>
    </xf>
    <xf numFmtId="1" fontId="1" fillId="0" borderId="17" xfId="51" applyNumberFormat="1" applyFont="1" applyFill="1" applyBorder="1" applyAlignment="1">
      <alignment horizontal="center"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2" fontId="1" fillId="0" borderId="52" xfId="50" applyNumberFormat="1" applyFont="1" applyFill="1" applyBorder="1" applyAlignment="1">
      <alignment horizontal="center" vertical="center"/>
      <protection/>
    </xf>
    <xf numFmtId="0" fontId="1" fillId="0" borderId="52" xfId="51" applyFont="1" applyFill="1" applyBorder="1" applyAlignment="1">
      <alignment horizontal="center" vertical="center"/>
      <protection/>
    </xf>
    <xf numFmtId="169" fontId="2" fillId="0" borderId="33" xfId="50" applyNumberFormat="1" applyFont="1" applyFill="1" applyBorder="1" applyAlignment="1">
      <alignment vertical="center"/>
      <protection/>
    </xf>
    <xf numFmtId="169" fontId="1" fillId="0" borderId="41" xfId="50" applyNumberFormat="1" applyFont="1" applyFill="1" applyBorder="1" applyAlignment="1">
      <alignment vertical="center"/>
      <protection/>
    </xf>
    <xf numFmtId="169" fontId="2" fillId="0" borderId="32" xfId="50" applyNumberFormat="1" applyFont="1" applyFill="1" applyBorder="1" applyAlignment="1">
      <alignment vertical="center"/>
      <protection/>
    </xf>
    <xf numFmtId="169" fontId="1" fillId="0" borderId="16" xfId="50" applyNumberFormat="1" applyFont="1" applyFill="1" applyBorder="1" applyAlignment="1">
      <alignment vertical="center"/>
      <protection/>
    </xf>
    <xf numFmtId="169" fontId="1" fillId="0" borderId="39" xfId="50" applyNumberFormat="1" applyFont="1" applyFill="1" applyBorder="1" applyAlignment="1">
      <alignment vertical="center"/>
      <protection/>
    </xf>
    <xf numFmtId="169" fontId="2" fillId="0" borderId="33" xfId="0" applyNumberFormat="1" applyFont="1" applyFill="1" applyBorder="1" applyAlignment="1">
      <alignment vertical="center"/>
    </xf>
    <xf numFmtId="169" fontId="1" fillId="0" borderId="16" xfId="0" applyNumberFormat="1" applyFont="1" applyFill="1" applyBorder="1" applyAlignment="1">
      <alignment vertical="center"/>
    </xf>
    <xf numFmtId="49" fontId="2" fillId="0" borderId="34" xfId="51" applyNumberFormat="1" applyFont="1" applyFill="1" applyBorder="1" applyAlignment="1">
      <alignment horizontal="center" vertical="center" wrapText="1"/>
      <protection/>
    </xf>
    <xf numFmtId="2" fontId="2" fillId="0" borderId="17" xfId="51" applyNumberFormat="1" applyFont="1" applyFill="1" applyBorder="1" applyAlignment="1">
      <alignment horizontal="center" vertical="center"/>
      <protection/>
    </xf>
    <xf numFmtId="2" fontId="2" fillId="0" borderId="43" xfId="5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57" xfId="50" applyFont="1" applyFill="1" applyBorder="1" applyAlignment="1">
      <alignment horizontal="center" vertical="center"/>
      <protection/>
    </xf>
    <xf numFmtId="0" fontId="2" fillId="0" borderId="47" xfId="50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/>
      <protection/>
    </xf>
    <xf numFmtId="0" fontId="2" fillId="0" borderId="58" xfId="50" applyFont="1" applyFill="1" applyBorder="1" applyAlignment="1">
      <alignment horizontal="center"/>
      <protection/>
    </xf>
    <xf numFmtId="2" fontId="2" fillId="0" borderId="59" xfId="50" applyNumberFormat="1" applyFont="1" applyFill="1" applyBorder="1" applyAlignment="1">
      <alignment horizontal="center" vertical="center"/>
      <protection/>
    </xf>
    <xf numFmtId="2" fontId="2" fillId="0" borderId="43" xfId="50" applyNumberFormat="1" applyFont="1" applyFill="1" applyBorder="1" applyAlignment="1">
      <alignment horizontal="center" vertical="center"/>
      <protection/>
    </xf>
    <xf numFmtId="0" fontId="2" fillId="0" borderId="60" xfId="50" applyFont="1" applyFill="1" applyBorder="1" applyAlignment="1">
      <alignment horizontal="center" vertical="center"/>
      <protection/>
    </xf>
    <xf numFmtId="0" fontId="2" fillId="0" borderId="39" xfId="50" applyFont="1" applyFill="1" applyBorder="1" applyAlignment="1">
      <alignment horizontal="center" vertical="center"/>
      <protection/>
    </xf>
    <xf numFmtId="2" fontId="1" fillId="0" borderId="60" xfId="50" applyNumberFormat="1" applyFont="1" applyFill="1" applyBorder="1" applyAlignment="1">
      <alignment horizontal="center" vertical="center" textRotation="90"/>
      <protection/>
    </xf>
    <xf numFmtId="2" fontId="1" fillId="0" borderId="56" xfId="50" applyNumberFormat="1" applyFont="1" applyFill="1" applyBorder="1" applyAlignment="1">
      <alignment horizontal="center" vertical="center" textRotation="90"/>
      <protection/>
    </xf>
    <xf numFmtId="2" fontId="1" fillId="0" borderId="39" xfId="50" applyNumberFormat="1" applyFont="1" applyFill="1" applyBorder="1" applyAlignment="1">
      <alignment horizontal="center" vertical="center" textRotation="90"/>
      <protection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2" fillId="0" borderId="61" xfId="50" applyNumberFormat="1" applyFont="1" applyFill="1" applyBorder="1" applyAlignment="1">
      <alignment horizontal="center" vertical="center"/>
      <protection/>
    </xf>
    <xf numFmtId="2" fontId="2" fillId="0" borderId="38" xfId="50" applyNumberFormat="1" applyFont="1" applyFill="1" applyBorder="1" applyAlignment="1">
      <alignment horizontal="center" vertical="center"/>
      <protection/>
    </xf>
    <xf numFmtId="0" fontId="2" fillId="0" borderId="62" xfId="50" applyFont="1" applyFill="1" applyBorder="1" applyAlignment="1">
      <alignment horizontal="center" vertical="center"/>
      <protection/>
    </xf>
    <xf numFmtId="0" fontId="2" fillId="0" borderId="63" xfId="50" applyFont="1" applyFill="1" applyBorder="1" applyAlignment="1">
      <alignment horizontal="center" vertical="center"/>
      <protection/>
    </xf>
    <xf numFmtId="169" fontId="11" fillId="0" borderId="25" xfId="0" applyNumberFormat="1" applyFont="1" applyBorder="1" applyAlignment="1">
      <alignment horizontal="right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Kapitola 924" xfId="49"/>
    <cellStyle name="normální_Rozpis výdajů 03 bez PO" xfId="50"/>
    <cellStyle name="normální_Rozpis výdajů 03 bez PO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2"/>
  <sheetViews>
    <sheetView tabSelected="1" zoomScalePageLayoutView="0" workbookViewId="0" topLeftCell="A34">
      <selection activeCell="E43" sqref="E43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6" width="13.140625" style="2" bestFit="1" customWidth="1"/>
    <col min="7" max="16384" width="9.140625" style="2" customWidth="1"/>
  </cols>
  <sheetData>
    <row r="1" spans="1:6" ht="20.25">
      <c r="A1" s="164" t="s">
        <v>161</v>
      </c>
      <c r="B1" s="164"/>
      <c r="C1" s="164"/>
      <c r="D1" s="164"/>
      <c r="E1" s="164"/>
      <c r="F1" s="164"/>
    </row>
    <row r="2" ht="18" customHeight="1"/>
    <row r="3" spans="1:6" ht="16.5" customHeight="1">
      <c r="A3" s="165" t="s">
        <v>29</v>
      </c>
      <c r="B3" s="165"/>
      <c r="C3" s="165"/>
      <c r="D3" s="165"/>
      <c r="E3" s="165"/>
      <c r="F3" s="165"/>
    </row>
    <row r="4" ht="12.75" customHeight="1" thickBot="1"/>
    <row r="5" spans="1:6" ht="15" thickBot="1">
      <c r="A5" s="3" t="s">
        <v>1</v>
      </c>
      <c r="B5" s="4" t="s">
        <v>2</v>
      </c>
      <c r="C5" s="24" t="s">
        <v>142</v>
      </c>
      <c r="D5" s="24" t="s">
        <v>143</v>
      </c>
      <c r="E5" s="24" t="s">
        <v>0</v>
      </c>
      <c r="F5" s="25" t="s">
        <v>144</v>
      </c>
    </row>
    <row r="6" spans="1:6" ht="16.5" customHeight="1">
      <c r="A6" s="5" t="s">
        <v>11</v>
      </c>
      <c r="B6" s="6" t="s">
        <v>30</v>
      </c>
      <c r="C6" s="86">
        <f>C7+C8+C9</f>
        <v>2301003</v>
      </c>
      <c r="D6" s="80">
        <f>D7+D8+D9</f>
        <v>2322672.29</v>
      </c>
      <c r="E6" s="76">
        <f>SUM(E7:E9)</f>
        <v>0</v>
      </c>
      <c r="F6" s="7">
        <f>SUM(F7:F9)</f>
        <v>2322672.29</v>
      </c>
    </row>
    <row r="7" spans="1:6" ht="15" customHeight="1">
      <c r="A7" s="8" t="s">
        <v>12</v>
      </c>
      <c r="B7" s="9" t="s">
        <v>13</v>
      </c>
      <c r="C7" s="85">
        <v>2101000</v>
      </c>
      <c r="D7" s="15">
        <v>2108256.29</v>
      </c>
      <c r="E7" s="77"/>
      <c r="F7" s="11">
        <f aca="true" t="shared" si="0" ref="F7:F23">D7+E7</f>
        <v>2108256.29</v>
      </c>
    </row>
    <row r="8" spans="1:6" ht="15">
      <c r="A8" s="8" t="s">
        <v>14</v>
      </c>
      <c r="B8" s="9" t="s">
        <v>15</v>
      </c>
      <c r="C8" s="85">
        <v>200003</v>
      </c>
      <c r="D8" s="15">
        <v>214056</v>
      </c>
      <c r="E8" s="77"/>
      <c r="F8" s="11">
        <f t="shared" si="0"/>
        <v>214056</v>
      </c>
    </row>
    <row r="9" spans="1:6" ht="15">
      <c r="A9" s="8" t="s">
        <v>16</v>
      </c>
      <c r="B9" s="9" t="s">
        <v>17</v>
      </c>
      <c r="C9" s="85">
        <v>0</v>
      </c>
      <c r="D9" s="15">
        <v>360</v>
      </c>
      <c r="E9" s="77"/>
      <c r="F9" s="11">
        <f t="shared" si="0"/>
        <v>360</v>
      </c>
    </row>
    <row r="10" spans="1:6" ht="15">
      <c r="A10" s="12" t="s">
        <v>18</v>
      </c>
      <c r="B10" s="9" t="s">
        <v>19</v>
      </c>
      <c r="C10" s="87">
        <f>C11+C16</f>
        <v>84887</v>
      </c>
      <c r="D10" s="13">
        <f>D11+D16</f>
        <v>3702513.79</v>
      </c>
      <c r="E10" s="73">
        <f>E11+E16</f>
        <v>0</v>
      </c>
      <c r="F10" s="17">
        <f>F11+F16</f>
        <v>3702513.79</v>
      </c>
    </row>
    <row r="11" spans="1:6" ht="15">
      <c r="A11" s="44" t="s">
        <v>59</v>
      </c>
      <c r="B11" s="9" t="s">
        <v>20</v>
      </c>
      <c r="C11" s="85">
        <f>SUM(C12:C15)</f>
        <v>84887</v>
      </c>
      <c r="D11" s="15">
        <f>SUM(D12:D15)</f>
        <v>3519960.27</v>
      </c>
      <c r="E11" s="15">
        <f>SUM(E12:E15)</f>
        <v>0</v>
      </c>
      <c r="F11" s="11">
        <f>SUM(F12:F15)</f>
        <v>3519960.27</v>
      </c>
    </row>
    <row r="12" spans="1:6" ht="15">
      <c r="A12" s="44" t="s">
        <v>60</v>
      </c>
      <c r="B12" s="9" t="s">
        <v>21</v>
      </c>
      <c r="C12" s="88">
        <v>60887</v>
      </c>
      <c r="D12" s="15">
        <v>60887</v>
      </c>
      <c r="E12" s="39"/>
      <c r="F12" s="11">
        <f t="shared" si="0"/>
        <v>60887</v>
      </c>
    </row>
    <row r="13" spans="1:6" ht="15">
      <c r="A13" s="44" t="s">
        <v>61</v>
      </c>
      <c r="B13" s="9" t="s">
        <v>20</v>
      </c>
      <c r="C13" s="88">
        <v>0</v>
      </c>
      <c r="D13" s="15">
        <v>3434216.71</v>
      </c>
      <c r="E13" s="77"/>
      <c r="F13" s="11">
        <f>D13+E13</f>
        <v>3434216.71</v>
      </c>
    </row>
    <row r="14" spans="1:6" ht="15">
      <c r="A14" s="44" t="s">
        <v>128</v>
      </c>
      <c r="B14" s="9" t="s">
        <v>129</v>
      </c>
      <c r="C14" s="88">
        <v>0</v>
      </c>
      <c r="D14" s="15">
        <v>856.56</v>
      </c>
      <c r="E14" s="39"/>
      <c r="F14" s="11">
        <f>D14+E14</f>
        <v>856.56</v>
      </c>
    </row>
    <row r="15" spans="1:6" ht="15">
      <c r="A15" s="44" t="s">
        <v>62</v>
      </c>
      <c r="B15" s="9">
        <v>4121</v>
      </c>
      <c r="C15" s="88">
        <v>24000</v>
      </c>
      <c r="D15" s="15">
        <v>24000</v>
      </c>
      <c r="E15" s="39"/>
      <c r="F15" s="11">
        <f t="shared" si="0"/>
        <v>24000</v>
      </c>
    </row>
    <row r="16" spans="1:6" ht="15">
      <c r="A16" s="8" t="s">
        <v>31</v>
      </c>
      <c r="B16" s="9" t="s">
        <v>22</v>
      </c>
      <c r="C16" s="88">
        <f>SUM(C17:C19)</f>
        <v>0</v>
      </c>
      <c r="D16" s="15">
        <f>SUM(D17:D19)</f>
        <v>182553.52</v>
      </c>
      <c r="E16" s="15">
        <f>SUM(E17:E19)</f>
        <v>0</v>
      </c>
      <c r="F16" s="11">
        <f>SUM(F17:F19)</f>
        <v>182553.52</v>
      </c>
    </row>
    <row r="17" spans="1:6" ht="15">
      <c r="A17" s="8" t="s">
        <v>63</v>
      </c>
      <c r="B17" s="9" t="s">
        <v>22</v>
      </c>
      <c r="C17" s="88">
        <v>0</v>
      </c>
      <c r="D17" s="15">
        <v>182553.52</v>
      </c>
      <c r="E17" s="77"/>
      <c r="F17" s="11">
        <f t="shared" si="0"/>
        <v>182553.52</v>
      </c>
    </row>
    <row r="18" spans="1:6" ht="15">
      <c r="A18" s="44" t="s">
        <v>64</v>
      </c>
      <c r="B18" s="9">
        <v>4221</v>
      </c>
      <c r="C18" s="88">
        <v>0</v>
      </c>
      <c r="D18" s="15">
        <v>0</v>
      </c>
      <c r="E18" s="39"/>
      <c r="F18" s="11">
        <f>D18+E18</f>
        <v>0</v>
      </c>
    </row>
    <row r="19" spans="1:6" ht="15">
      <c r="A19" s="44" t="s">
        <v>130</v>
      </c>
      <c r="B19" s="9">
        <v>4232</v>
      </c>
      <c r="C19" s="88">
        <v>0</v>
      </c>
      <c r="D19" s="15">
        <v>0</v>
      </c>
      <c r="E19" s="39"/>
      <c r="F19" s="11">
        <f>D19+E19</f>
        <v>0</v>
      </c>
    </row>
    <row r="20" spans="1:6" ht="14.25">
      <c r="A20" s="12" t="s">
        <v>23</v>
      </c>
      <c r="B20" s="16" t="s">
        <v>32</v>
      </c>
      <c r="C20" s="87">
        <f>C6+C10</f>
        <v>2385890</v>
      </c>
      <c r="D20" s="13">
        <f>D6+D10</f>
        <v>6025186.08</v>
      </c>
      <c r="E20" s="13">
        <f>E6+E10</f>
        <v>0</v>
      </c>
      <c r="F20" s="17">
        <f>F6+F10</f>
        <v>6025186.08</v>
      </c>
    </row>
    <row r="21" spans="1:6" ht="14.25">
      <c r="A21" s="12" t="s">
        <v>24</v>
      </c>
      <c r="B21" s="16" t="s">
        <v>25</v>
      </c>
      <c r="C21" s="87">
        <f>SUM(C22:C26)</f>
        <v>-46875</v>
      </c>
      <c r="D21" s="13">
        <f>SUM(D22:D26)</f>
        <v>1020233.9000000001</v>
      </c>
      <c r="E21" s="13">
        <f>SUM(E22:E26)</f>
        <v>40876.906</v>
      </c>
      <c r="F21" s="14">
        <f>SUM(F22:F26)</f>
        <v>1061110.806</v>
      </c>
    </row>
    <row r="22" spans="1:6" ht="15">
      <c r="A22" s="44" t="s">
        <v>145</v>
      </c>
      <c r="B22" s="9" t="s">
        <v>26</v>
      </c>
      <c r="C22" s="88">
        <v>0</v>
      </c>
      <c r="D22" s="15">
        <v>79520.92</v>
      </c>
      <c r="E22" s="74"/>
      <c r="F22" s="11">
        <f t="shared" si="0"/>
        <v>79520.92</v>
      </c>
    </row>
    <row r="23" spans="1:6" ht="15">
      <c r="A23" s="44" t="s">
        <v>146</v>
      </c>
      <c r="B23" s="9" t="s">
        <v>26</v>
      </c>
      <c r="C23" s="88">
        <v>0</v>
      </c>
      <c r="D23" s="15">
        <v>253299.98</v>
      </c>
      <c r="E23" s="10"/>
      <c r="F23" s="11">
        <f t="shared" si="0"/>
        <v>253299.98</v>
      </c>
    </row>
    <row r="24" spans="1:6" ht="15">
      <c r="A24" s="44" t="s">
        <v>147</v>
      </c>
      <c r="B24" s="9" t="s">
        <v>26</v>
      </c>
      <c r="C24" s="88">
        <v>0</v>
      </c>
      <c r="D24" s="15">
        <v>520174.93</v>
      </c>
      <c r="E24" s="10"/>
      <c r="F24" s="11">
        <f>D24+E24</f>
        <v>520174.93</v>
      </c>
    </row>
    <row r="25" spans="1:6" ht="15">
      <c r="A25" s="44" t="s">
        <v>65</v>
      </c>
      <c r="B25" s="9" t="s">
        <v>66</v>
      </c>
      <c r="C25" s="88">
        <v>0</v>
      </c>
      <c r="D25" s="82">
        <v>214113.07</v>
      </c>
      <c r="E25" s="77">
        <f>'2406'!I7</f>
        <v>40876.906</v>
      </c>
      <c r="F25" s="11">
        <f>D25+E25</f>
        <v>254989.97600000002</v>
      </c>
    </row>
    <row r="26" spans="1:6" ht="15.75" thickBot="1">
      <c r="A26" s="44" t="s">
        <v>67</v>
      </c>
      <c r="B26" s="9">
        <v>8124</v>
      </c>
      <c r="C26" s="88">
        <v>-46875</v>
      </c>
      <c r="D26" s="83">
        <v>-46875</v>
      </c>
      <c r="E26" s="10"/>
      <c r="F26" s="11">
        <f>D26+E26</f>
        <v>-46875</v>
      </c>
    </row>
    <row r="27" spans="1:6" ht="15" thickBot="1">
      <c r="A27" s="18" t="s">
        <v>27</v>
      </c>
      <c r="B27" s="19"/>
      <c r="C27" s="45">
        <f>C21+C10+C6</f>
        <v>2339015</v>
      </c>
      <c r="D27" s="38">
        <f>D21+D10+D6</f>
        <v>7045419.98</v>
      </c>
      <c r="E27" s="20">
        <f>E6+E10+E21</f>
        <v>40876.906</v>
      </c>
      <c r="F27" s="21">
        <f>D27+E27</f>
        <v>7086296.886000001</v>
      </c>
    </row>
    <row r="29" ht="11.25">
      <c r="E29" s="46"/>
    </row>
    <row r="30" spans="1:6" ht="18.75">
      <c r="A30" s="165" t="s">
        <v>33</v>
      </c>
      <c r="B30" s="165"/>
      <c r="C30" s="165"/>
      <c r="D30" s="165"/>
      <c r="E30" s="165"/>
      <c r="F30" s="165"/>
    </row>
    <row r="31" spans="1:6" ht="12" customHeight="1" thickBot="1">
      <c r="A31" s="1"/>
      <c r="B31" s="1"/>
      <c r="C31" s="1"/>
      <c r="D31" s="1"/>
      <c r="E31" s="1"/>
      <c r="F31" s="1"/>
    </row>
    <row r="32" spans="1:6" ht="15" thickBot="1">
      <c r="A32" s="22" t="s">
        <v>34</v>
      </c>
      <c r="B32" s="23" t="s">
        <v>2</v>
      </c>
      <c r="C32" s="24" t="s">
        <v>142</v>
      </c>
      <c r="D32" s="24" t="s">
        <v>143</v>
      </c>
      <c r="E32" s="24" t="s">
        <v>0</v>
      </c>
      <c r="F32" s="25" t="s">
        <v>144</v>
      </c>
    </row>
    <row r="33" spans="1:6" ht="15">
      <c r="A33" s="26" t="s">
        <v>35</v>
      </c>
      <c r="B33" s="27" t="s">
        <v>36</v>
      </c>
      <c r="C33" s="28">
        <v>31604</v>
      </c>
      <c r="D33" s="78">
        <v>31705.08</v>
      </c>
      <c r="E33" s="28"/>
      <c r="F33" s="29">
        <f>D33+E33</f>
        <v>31705.08</v>
      </c>
    </row>
    <row r="34" spans="1:6" ht="15">
      <c r="A34" s="30" t="s">
        <v>37</v>
      </c>
      <c r="B34" s="31" t="s">
        <v>36</v>
      </c>
      <c r="C34" s="15">
        <v>211118.26</v>
      </c>
      <c r="D34" s="82">
        <v>210326.27</v>
      </c>
      <c r="E34" s="28"/>
      <c r="F34" s="29">
        <f>D34+E34</f>
        <v>210326.27</v>
      </c>
    </row>
    <row r="35" spans="1:6" ht="15">
      <c r="A35" s="30" t="s">
        <v>38</v>
      </c>
      <c r="B35" s="31" t="s">
        <v>36</v>
      </c>
      <c r="C35" s="15">
        <v>825854</v>
      </c>
      <c r="D35" s="82">
        <v>846050.29</v>
      </c>
      <c r="E35" s="28"/>
      <c r="F35" s="29">
        <f aca="true" t="shared" si="1" ref="F35:F51">D35+E35</f>
        <v>846050.29</v>
      </c>
    </row>
    <row r="36" spans="1:6" ht="15">
      <c r="A36" s="30" t="s">
        <v>39</v>
      </c>
      <c r="B36" s="31" t="s">
        <v>36</v>
      </c>
      <c r="C36" s="15">
        <v>856839.72</v>
      </c>
      <c r="D36" s="82">
        <v>690804.45</v>
      </c>
      <c r="E36" s="78"/>
      <c r="F36" s="29">
        <f t="shared" si="1"/>
        <v>690804.45</v>
      </c>
    </row>
    <row r="37" spans="1:6" ht="15">
      <c r="A37" s="30" t="s">
        <v>58</v>
      </c>
      <c r="B37" s="31" t="s">
        <v>36</v>
      </c>
      <c r="C37" s="15">
        <v>140000</v>
      </c>
      <c r="D37" s="82">
        <v>152320</v>
      </c>
      <c r="E37" s="64"/>
      <c r="F37" s="29">
        <f t="shared" si="1"/>
        <v>152320</v>
      </c>
    </row>
    <row r="38" spans="1:6" ht="15">
      <c r="A38" s="30" t="s">
        <v>40</v>
      </c>
      <c r="B38" s="31" t="s">
        <v>36</v>
      </c>
      <c r="C38" s="15">
        <v>0</v>
      </c>
      <c r="D38" s="82">
        <v>3399378.85</v>
      </c>
      <c r="E38" s="64"/>
      <c r="F38" s="29">
        <f t="shared" si="1"/>
        <v>3399378.85</v>
      </c>
    </row>
    <row r="39" spans="1:6" ht="15">
      <c r="A39" s="30" t="s">
        <v>41</v>
      </c>
      <c r="B39" s="31" t="s">
        <v>36</v>
      </c>
      <c r="C39" s="15">
        <v>170604.02</v>
      </c>
      <c r="D39" s="82">
        <v>87623.91</v>
      </c>
      <c r="E39" s="64"/>
      <c r="F39" s="29">
        <f t="shared" si="1"/>
        <v>87623.91</v>
      </c>
    </row>
    <row r="40" spans="1:6" ht="15">
      <c r="A40" s="30" t="s">
        <v>42</v>
      </c>
      <c r="B40" s="31" t="s">
        <v>43</v>
      </c>
      <c r="C40" s="15">
        <v>6080</v>
      </c>
      <c r="D40" s="82">
        <v>479544.06</v>
      </c>
      <c r="E40" s="64"/>
      <c r="F40" s="29">
        <f t="shared" si="1"/>
        <v>479544.06</v>
      </c>
    </row>
    <row r="41" spans="1:6" ht="15">
      <c r="A41" s="30" t="s">
        <v>44</v>
      </c>
      <c r="B41" s="31" t="s">
        <v>43</v>
      </c>
      <c r="C41" s="15">
        <v>0</v>
      </c>
      <c r="D41" s="82">
        <v>0</v>
      </c>
      <c r="E41" s="75"/>
      <c r="F41" s="29">
        <f t="shared" si="1"/>
        <v>0</v>
      </c>
    </row>
    <row r="42" spans="1:6" ht="15">
      <c r="A42" s="30" t="s">
        <v>45</v>
      </c>
      <c r="B42" s="31" t="s">
        <v>46</v>
      </c>
      <c r="C42" s="15">
        <v>28820</v>
      </c>
      <c r="D42" s="82">
        <v>784335.58</v>
      </c>
      <c r="E42" s="64"/>
      <c r="F42" s="29">
        <f t="shared" si="1"/>
        <v>784335.58</v>
      </c>
    </row>
    <row r="43" spans="1:8" ht="15">
      <c r="A43" s="30" t="s">
        <v>47</v>
      </c>
      <c r="B43" s="31" t="s">
        <v>46</v>
      </c>
      <c r="C43" s="15">
        <v>46595</v>
      </c>
      <c r="D43" s="82">
        <v>260708.07</v>
      </c>
      <c r="E43" s="183">
        <f>'2406'!I7</f>
        <v>40876.906</v>
      </c>
      <c r="F43" s="29">
        <f t="shared" si="1"/>
        <v>301584.976</v>
      </c>
      <c r="H43" s="65"/>
    </row>
    <row r="44" spans="1:6" ht="15">
      <c r="A44" s="30" t="s">
        <v>48</v>
      </c>
      <c r="B44" s="31" t="s">
        <v>36</v>
      </c>
      <c r="C44" s="15">
        <v>3500</v>
      </c>
      <c r="D44" s="82">
        <v>5445.59</v>
      </c>
      <c r="E44" s="28"/>
      <c r="F44" s="29">
        <f t="shared" si="1"/>
        <v>5445.59</v>
      </c>
    </row>
    <row r="45" spans="1:6" s="138" customFormat="1" ht="15">
      <c r="A45" s="30" t="s">
        <v>172</v>
      </c>
      <c r="B45" s="31" t="s">
        <v>46</v>
      </c>
      <c r="C45" s="135">
        <v>0</v>
      </c>
      <c r="D45" s="82">
        <v>16500</v>
      </c>
      <c r="E45" s="136"/>
      <c r="F45" s="137">
        <f t="shared" si="1"/>
        <v>16500</v>
      </c>
    </row>
    <row r="46" spans="1:6" ht="15">
      <c r="A46" s="30" t="s">
        <v>49</v>
      </c>
      <c r="B46" s="31" t="s">
        <v>46</v>
      </c>
      <c r="C46" s="15">
        <v>0</v>
      </c>
      <c r="D46" s="82">
        <v>3</v>
      </c>
      <c r="E46" s="28"/>
      <c r="F46" s="29">
        <f t="shared" si="1"/>
        <v>3</v>
      </c>
    </row>
    <row r="47" spans="1:6" ht="15">
      <c r="A47" s="30" t="s">
        <v>50</v>
      </c>
      <c r="B47" s="31" t="s">
        <v>46</v>
      </c>
      <c r="C47" s="15">
        <v>18000</v>
      </c>
      <c r="D47" s="82">
        <v>68585.666</v>
      </c>
      <c r="E47" s="28"/>
      <c r="F47" s="29">
        <f t="shared" si="1"/>
        <v>68585.666</v>
      </c>
    </row>
    <row r="48" spans="1:6" ht="15">
      <c r="A48" s="30" t="s">
        <v>51</v>
      </c>
      <c r="B48" s="31" t="s">
        <v>46</v>
      </c>
      <c r="C48" s="15">
        <v>0</v>
      </c>
      <c r="D48" s="82">
        <v>3</v>
      </c>
      <c r="E48" s="28"/>
      <c r="F48" s="29">
        <f t="shared" si="1"/>
        <v>3</v>
      </c>
    </row>
    <row r="49" spans="1:6" ht="15">
      <c r="A49" s="30" t="s">
        <v>52</v>
      </c>
      <c r="B49" s="31" t="s">
        <v>46</v>
      </c>
      <c r="C49" s="15">
        <v>0</v>
      </c>
      <c r="D49" s="82">
        <v>3</v>
      </c>
      <c r="E49" s="28"/>
      <c r="F49" s="29">
        <f t="shared" si="1"/>
        <v>3</v>
      </c>
    </row>
    <row r="50" spans="1:6" ht="15">
      <c r="A50" s="30" t="s">
        <v>53</v>
      </c>
      <c r="B50" s="31" t="s">
        <v>46</v>
      </c>
      <c r="C50" s="15">
        <v>0</v>
      </c>
      <c r="D50" s="82">
        <v>12042.166</v>
      </c>
      <c r="E50" s="28"/>
      <c r="F50" s="29">
        <f t="shared" si="1"/>
        <v>12042.166</v>
      </c>
    </row>
    <row r="51" spans="1:6" ht="15.75" thickBot="1">
      <c r="A51" s="32" t="s">
        <v>54</v>
      </c>
      <c r="B51" s="33" t="s">
        <v>46</v>
      </c>
      <c r="C51" s="81">
        <v>0</v>
      </c>
      <c r="D51" s="84">
        <v>41</v>
      </c>
      <c r="E51" s="34"/>
      <c r="F51" s="35">
        <f t="shared" si="1"/>
        <v>41</v>
      </c>
    </row>
    <row r="52" spans="1:6" ht="15" thickBot="1">
      <c r="A52" s="36" t="s">
        <v>55</v>
      </c>
      <c r="B52" s="37"/>
      <c r="C52" s="38">
        <f>SUM(C33:C51)</f>
        <v>2339015</v>
      </c>
      <c r="D52" s="38">
        <f>SUM(D33:D51)</f>
        <v>7045419.982000001</v>
      </c>
      <c r="E52" s="38">
        <f>SUM(E33:E51)</f>
        <v>40876.906</v>
      </c>
      <c r="F52" s="21">
        <f>SUM(F33:F51)</f>
        <v>7086296.888</v>
      </c>
    </row>
  </sheetData>
  <sheetProtection/>
  <mergeCells count="3">
    <mergeCell ref="A1:F1"/>
    <mergeCell ref="A3:F3"/>
    <mergeCell ref="A30:F30"/>
  </mergeCells>
  <printOptions horizontalCentered="1"/>
  <pageMargins left="0.3937007874015748" right="0.3937007874015748" top="0.71" bottom="0.45" header="0.23" footer="0.19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103"/>
  <sheetViews>
    <sheetView zoomScalePageLayoutView="0" workbookViewId="0" topLeftCell="A1">
      <pane xSplit="1" ySplit="7" topLeftCell="B9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98" sqref="C98:C103"/>
    </sheetView>
  </sheetViews>
  <sheetFormatPr defaultColWidth="9.140625" defaultRowHeight="12.75"/>
  <cols>
    <col min="1" max="1" width="3.8515625" style="60" customWidth="1"/>
    <col min="2" max="2" width="3.421875" style="60" bestFit="1" customWidth="1"/>
    <col min="3" max="3" width="10.00390625" style="60" bestFit="1" customWidth="1"/>
    <col min="4" max="4" width="5.57421875" style="60" customWidth="1"/>
    <col min="5" max="5" width="5.7109375" style="60" customWidth="1"/>
    <col min="6" max="6" width="43.8515625" style="60" customWidth="1"/>
    <col min="7" max="7" width="8.140625" style="60" customWidth="1"/>
    <col min="8" max="8" width="9.00390625" style="60" customWidth="1"/>
    <col min="9" max="9" width="9.140625" style="60" customWidth="1"/>
    <col min="10" max="10" width="9.57421875" style="60" bestFit="1" customWidth="1"/>
    <col min="11" max="11" width="8.140625" style="60" customWidth="1"/>
    <col min="12" max="12" width="13.57421875" style="61" customWidth="1"/>
    <col min="13" max="13" width="18.421875" style="60" customWidth="1"/>
    <col min="14" max="16384" width="9.140625" style="60" customWidth="1"/>
  </cols>
  <sheetData>
    <row r="1" spans="1:10" ht="18">
      <c r="A1" s="177" t="s">
        <v>68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2.7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5.75">
      <c r="A3" s="178" t="s">
        <v>69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3.5" thickBot="1">
      <c r="A4" s="91"/>
      <c r="B4" s="91"/>
      <c r="C4" s="91"/>
      <c r="D4" s="91"/>
      <c r="E4" s="91"/>
      <c r="F4" s="91"/>
      <c r="G4" s="91"/>
      <c r="H4" s="91"/>
      <c r="I4" s="91"/>
      <c r="J4" s="92" t="s">
        <v>3</v>
      </c>
    </row>
    <row r="5" spans="1:12" s="59" customFormat="1" ht="12.75" customHeight="1" thickBot="1">
      <c r="A5" s="179" t="s">
        <v>4</v>
      </c>
      <c r="B5" s="179" t="s">
        <v>6</v>
      </c>
      <c r="C5" s="170" t="s">
        <v>8</v>
      </c>
      <c r="D5" s="170" t="s">
        <v>9</v>
      </c>
      <c r="E5" s="170" t="s">
        <v>10</v>
      </c>
      <c r="F5" s="181" t="s">
        <v>71</v>
      </c>
      <c r="G5" s="166" t="s">
        <v>142</v>
      </c>
      <c r="H5" s="172" t="s">
        <v>143</v>
      </c>
      <c r="I5" s="168" t="s">
        <v>173</v>
      </c>
      <c r="J5" s="169"/>
      <c r="L5" s="93"/>
    </row>
    <row r="6" spans="1:12" s="59" customFormat="1" ht="12.75" customHeight="1" thickBot="1">
      <c r="A6" s="180"/>
      <c r="B6" s="180"/>
      <c r="C6" s="171"/>
      <c r="D6" s="171"/>
      <c r="E6" s="171"/>
      <c r="F6" s="182"/>
      <c r="G6" s="167"/>
      <c r="H6" s="173"/>
      <c r="I6" s="94" t="s">
        <v>28</v>
      </c>
      <c r="J6" s="95" t="s">
        <v>144</v>
      </c>
      <c r="L6" s="93"/>
    </row>
    <row r="7" spans="1:12" s="59" customFormat="1" ht="12.75" customHeight="1" thickBot="1">
      <c r="A7" s="48">
        <v>924</v>
      </c>
      <c r="B7" s="96" t="s">
        <v>7</v>
      </c>
      <c r="C7" s="97" t="s">
        <v>8</v>
      </c>
      <c r="D7" s="97" t="s">
        <v>9</v>
      </c>
      <c r="E7" s="97" t="s">
        <v>10</v>
      </c>
      <c r="F7" s="98" t="s">
        <v>56</v>
      </c>
      <c r="G7" s="41">
        <f>G8+G10+G12+G14+G16+G18+G20+G22+G24+G26+G28+G30+G32+G34+G36+G38+G40+G42+G44+G46+G48+G50+G52+G54+G56+G58+G60+G62+G64+G66+G69+G71+G73+G75+G77+G79+G81+G83+G85+G87+G89+G92+G94+G96+G98+G100+G102</f>
        <v>0</v>
      </c>
      <c r="H7" s="41">
        <f>H8+H10+H12+H14+H16+H18+H20+H22+H24+H26+H28+H30+H32+H34+H36+H38+H40+H42+H44+H46+H48+H50+H52+H54+H56+H58+H60+H62+H64+H66+H69+H71+H73+H75+H77+H79+H81+H83+H85+H87+H89+H92+H94+H96+H98+H100+H102</f>
        <v>214113.07426999998</v>
      </c>
      <c r="I7" s="41">
        <f>I8+I10+I12+I14+I16+I18+I20+I22+I24+I26+I28+I30+I32+I34+I36+I38+I40+I42+I44+I46+I48+I50+I52+I54+I56+I58+I60+I62+I64+I66+I69+I71+I73+I75+I77+I79+I81+I83+I85+I87+I89+I92+I94+I96+I98+I100+I102</f>
        <v>40876.906</v>
      </c>
      <c r="J7" s="40">
        <f>J8+J10+J12+J14+J16+J18+J20+J22+J24+J26+J28+J30+J32+J34+J36+J38+J40+J42+J44+J46+J48+J50+J52+J54+J56+J58+J60+J62+J64+J66+J69+J71+J73+J75+J77+J79+J81+J83+J85+J87+J89+J92+J94+J96+J98+J100+J102</f>
        <v>254989.98026999997</v>
      </c>
      <c r="L7" s="93"/>
    </row>
    <row r="8" spans="1:10" ht="12.75" customHeight="1">
      <c r="A8" s="174" t="s">
        <v>159</v>
      </c>
      <c r="B8" s="99" t="s">
        <v>7</v>
      </c>
      <c r="C8" s="47" t="s">
        <v>72</v>
      </c>
      <c r="D8" s="58">
        <v>2212</v>
      </c>
      <c r="E8" s="58" t="s">
        <v>5</v>
      </c>
      <c r="F8" s="52" t="s">
        <v>73</v>
      </c>
      <c r="G8" s="42">
        <f>SUM(G9:G9)</f>
        <v>0</v>
      </c>
      <c r="H8" s="43">
        <f>SUM(H9:H9)</f>
        <v>4837.067209999999</v>
      </c>
      <c r="I8" s="154">
        <f>SUM(I9:I9)</f>
        <v>0</v>
      </c>
      <c r="J8" s="43">
        <f>SUM(J9:J9)</f>
        <v>4837.067209999999</v>
      </c>
    </row>
    <row r="9" spans="1:10" ht="13.5" thickBot="1">
      <c r="A9" s="175"/>
      <c r="B9" s="100"/>
      <c r="C9" s="79"/>
      <c r="D9" s="101"/>
      <c r="E9" s="102">
        <v>6121</v>
      </c>
      <c r="F9" s="51" t="s">
        <v>57</v>
      </c>
      <c r="G9" s="63">
        <v>0</v>
      </c>
      <c r="H9" s="69">
        <f>ROUND(((23480.852-11769.524-7130.82498)+(436.2-118.2-84))/1.2*1.21,5)-0.00002+ROUND(-((1936.39778+170.4)*(1.21/1.2-1)),5)</f>
        <v>4837.067209999999</v>
      </c>
      <c r="I9" s="155"/>
      <c r="J9" s="67">
        <f>H9+I9</f>
        <v>4837.067209999999</v>
      </c>
    </row>
    <row r="10" spans="1:10" ht="12.75">
      <c r="A10" s="175"/>
      <c r="B10" s="99" t="s">
        <v>7</v>
      </c>
      <c r="C10" s="47" t="s">
        <v>74</v>
      </c>
      <c r="D10" s="58">
        <v>2212</v>
      </c>
      <c r="E10" s="58" t="s">
        <v>5</v>
      </c>
      <c r="F10" s="52" t="s">
        <v>75</v>
      </c>
      <c r="G10" s="42">
        <f>SUM(G11:G11)</f>
        <v>0</v>
      </c>
      <c r="H10" s="42">
        <f>SUM(H11:H11)</f>
        <v>60.5</v>
      </c>
      <c r="I10" s="154">
        <f>SUM(I11:I11)</f>
        <v>0</v>
      </c>
      <c r="J10" s="43">
        <f>SUM(J11:J11)</f>
        <v>60.5</v>
      </c>
    </row>
    <row r="11" spans="1:10" ht="13.5" thickBot="1">
      <c r="A11" s="175"/>
      <c r="B11" s="100"/>
      <c r="C11" s="79"/>
      <c r="D11" s="101"/>
      <c r="E11" s="102">
        <v>6121</v>
      </c>
      <c r="F11" s="51" t="s">
        <v>57</v>
      </c>
      <c r="G11" s="63">
        <v>0</v>
      </c>
      <c r="H11" s="68">
        <f>(132-48-24)/1.2*1.21</f>
        <v>60.5</v>
      </c>
      <c r="I11" s="155"/>
      <c r="J11" s="67">
        <f>H11+I11</f>
        <v>60.5</v>
      </c>
    </row>
    <row r="12" spans="1:10" ht="12.75">
      <c r="A12" s="175"/>
      <c r="B12" s="99" t="s">
        <v>7</v>
      </c>
      <c r="C12" s="47" t="s">
        <v>162</v>
      </c>
      <c r="D12" s="58">
        <v>2212</v>
      </c>
      <c r="E12" s="58" t="s">
        <v>5</v>
      </c>
      <c r="F12" s="115" t="s">
        <v>163</v>
      </c>
      <c r="G12" s="42">
        <f>SUM(G13:G13)</f>
        <v>0</v>
      </c>
      <c r="H12" s="42">
        <f>SUM(H13:H13)</f>
        <v>5.4</v>
      </c>
      <c r="I12" s="154">
        <f>SUM(I13:I13)</f>
        <v>0</v>
      </c>
      <c r="J12" s="43">
        <f>SUM(J13:J13)</f>
        <v>5.4</v>
      </c>
    </row>
    <row r="13" spans="1:10" ht="13.5" thickBot="1">
      <c r="A13" s="175"/>
      <c r="B13" s="100"/>
      <c r="C13" s="79"/>
      <c r="D13" s="101"/>
      <c r="E13" s="71">
        <v>5171</v>
      </c>
      <c r="F13" s="120" t="s">
        <v>70</v>
      </c>
      <c r="G13" s="68">
        <v>0</v>
      </c>
      <c r="H13" s="68">
        <v>5.4</v>
      </c>
      <c r="I13" s="155"/>
      <c r="J13" s="67">
        <f>H13+I13</f>
        <v>5.4</v>
      </c>
    </row>
    <row r="14" spans="1:10" ht="12.75">
      <c r="A14" s="175"/>
      <c r="B14" s="99" t="s">
        <v>7</v>
      </c>
      <c r="C14" s="47" t="s">
        <v>76</v>
      </c>
      <c r="D14" s="58">
        <v>2212</v>
      </c>
      <c r="E14" s="58" t="s">
        <v>5</v>
      </c>
      <c r="F14" s="52" t="s">
        <v>158</v>
      </c>
      <c r="G14" s="42">
        <f>SUM(G15:G15)</f>
        <v>0</v>
      </c>
      <c r="H14" s="42">
        <f>SUM(H15:H15)</f>
        <v>12.1</v>
      </c>
      <c r="I14" s="154">
        <f>SUM(I15:I15)</f>
        <v>0</v>
      </c>
      <c r="J14" s="43">
        <f>SUM(J15:J15)</f>
        <v>12.1</v>
      </c>
    </row>
    <row r="15" spans="1:10" ht="13.5" thickBot="1">
      <c r="A15" s="175"/>
      <c r="B15" s="100"/>
      <c r="C15" s="79"/>
      <c r="D15" s="101"/>
      <c r="E15" s="71">
        <v>5169</v>
      </c>
      <c r="F15" s="72" t="s">
        <v>81</v>
      </c>
      <c r="G15" s="68">
        <v>0</v>
      </c>
      <c r="H15" s="68">
        <f>12/1.2*1.21</f>
        <v>12.1</v>
      </c>
      <c r="I15" s="155"/>
      <c r="J15" s="67">
        <f>H15+I15</f>
        <v>12.1</v>
      </c>
    </row>
    <row r="16" spans="1:12" s="59" customFormat="1" ht="12.75" customHeight="1">
      <c r="A16" s="175"/>
      <c r="B16" s="103" t="s">
        <v>7</v>
      </c>
      <c r="C16" s="47" t="s">
        <v>77</v>
      </c>
      <c r="D16" s="58">
        <v>2212</v>
      </c>
      <c r="E16" s="58" t="s">
        <v>5</v>
      </c>
      <c r="F16" s="52" t="s">
        <v>136</v>
      </c>
      <c r="G16" s="42">
        <f>SUM(G17:G17)</f>
        <v>0</v>
      </c>
      <c r="H16" s="42">
        <f>SUM(H17:H17)</f>
        <v>6162.16999</v>
      </c>
      <c r="I16" s="154">
        <f>SUM(I17:I17)</f>
        <v>0</v>
      </c>
      <c r="J16" s="43">
        <f>SUM(J17:J17)</f>
        <v>6162.16999</v>
      </c>
      <c r="L16" s="93"/>
    </row>
    <row r="17" spans="1:12" s="59" customFormat="1" ht="12.75" customHeight="1" thickBot="1">
      <c r="A17" s="175"/>
      <c r="B17" s="104"/>
      <c r="C17" s="79"/>
      <c r="D17" s="101"/>
      <c r="E17" s="71">
        <v>6121</v>
      </c>
      <c r="F17" s="53" t="s">
        <v>57</v>
      </c>
      <c r="G17" s="68">
        <v>0</v>
      </c>
      <c r="H17" s="69">
        <f>ROUND(((14042.068/2-150-993.1519)+(318+24+72-24-144))/1.2*1.21,5)+ROUND(-(1529.3352*(1.21/1.2-1)),5)</f>
        <v>6162.16999</v>
      </c>
      <c r="I17" s="155"/>
      <c r="J17" s="69">
        <f>H17+I17</f>
        <v>6162.16999</v>
      </c>
      <c r="L17" s="93"/>
    </row>
    <row r="18" spans="1:10" ht="12.75">
      <c r="A18" s="175"/>
      <c r="B18" s="99" t="s">
        <v>7</v>
      </c>
      <c r="C18" s="47" t="s">
        <v>78</v>
      </c>
      <c r="D18" s="58">
        <v>2212</v>
      </c>
      <c r="E18" s="58" t="s">
        <v>5</v>
      </c>
      <c r="F18" s="52" t="s">
        <v>137</v>
      </c>
      <c r="G18" s="42">
        <f>SUM(G19:G19)</f>
        <v>0</v>
      </c>
      <c r="H18" s="42">
        <f>SUM(H19:H19)</f>
        <v>2454.15326</v>
      </c>
      <c r="I18" s="154">
        <f>SUM(I19:I19)</f>
        <v>0</v>
      </c>
      <c r="J18" s="43">
        <f>SUM(J19:J19)</f>
        <v>2454.15326</v>
      </c>
    </row>
    <row r="19" spans="1:10" ht="13.5" thickBot="1">
      <c r="A19" s="175"/>
      <c r="B19" s="105"/>
      <c r="C19" s="79"/>
      <c r="D19" s="101"/>
      <c r="E19" s="71">
        <v>6121</v>
      </c>
      <c r="F19" s="53" t="s">
        <v>57</v>
      </c>
      <c r="G19" s="68">
        <v>0</v>
      </c>
      <c r="H19" s="69">
        <f>ROUND(((6540.446/2-831.9179-75.6289-114.8052)+(174+24+48-24-24-12))/1.2*1.21,5)</f>
        <v>2454.15326</v>
      </c>
      <c r="I19" s="155"/>
      <c r="J19" s="69">
        <f>H19+I19</f>
        <v>2454.15326</v>
      </c>
    </row>
    <row r="20" spans="1:10" ht="12.75">
      <c r="A20" s="175"/>
      <c r="B20" s="99" t="s">
        <v>7</v>
      </c>
      <c r="C20" s="47" t="s">
        <v>79</v>
      </c>
      <c r="D20" s="58">
        <v>2212</v>
      </c>
      <c r="E20" s="58" t="s">
        <v>5</v>
      </c>
      <c r="F20" s="52" t="s">
        <v>80</v>
      </c>
      <c r="G20" s="42">
        <f>SUM(G21:G21)</f>
        <v>0</v>
      </c>
      <c r="H20" s="42">
        <f>SUM(H21:H21)</f>
        <v>30.25</v>
      </c>
      <c r="I20" s="154">
        <f>SUM(I21:I21)</f>
        <v>0</v>
      </c>
      <c r="J20" s="43">
        <f>SUM(J21:J21)</f>
        <v>30.25</v>
      </c>
    </row>
    <row r="21" spans="1:10" ht="13.5" thickBot="1">
      <c r="A21" s="175"/>
      <c r="B21" s="105"/>
      <c r="C21" s="79"/>
      <c r="D21" s="101"/>
      <c r="E21" s="71">
        <v>6121</v>
      </c>
      <c r="F21" s="53" t="s">
        <v>57</v>
      </c>
      <c r="G21" s="68">
        <v>0</v>
      </c>
      <c r="H21" s="69">
        <f>(132-84-18)/1.2*1.21</f>
        <v>30.25</v>
      </c>
      <c r="I21" s="155"/>
      <c r="J21" s="69">
        <f>H21+I21</f>
        <v>30.25</v>
      </c>
    </row>
    <row r="22" spans="1:10" ht="12.75">
      <c r="A22" s="175"/>
      <c r="B22" s="99" t="s">
        <v>7</v>
      </c>
      <c r="C22" s="47" t="s">
        <v>82</v>
      </c>
      <c r="D22" s="58">
        <v>2212</v>
      </c>
      <c r="E22" s="58" t="s">
        <v>5</v>
      </c>
      <c r="F22" s="52" t="s">
        <v>138</v>
      </c>
      <c r="G22" s="42">
        <f>SUM(G23:G23)</f>
        <v>0</v>
      </c>
      <c r="H22" s="42">
        <f>SUM(H23:H23)</f>
        <v>744.66433</v>
      </c>
      <c r="I22" s="154">
        <f>SUM(I23:I23)</f>
        <v>0</v>
      </c>
      <c r="J22" s="43">
        <f>SUM(J23:J23)</f>
        <v>744.66433</v>
      </c>
    </row>
    <row r="23" spans="1:10" ht="13.5" thickBot="1">
      <c r="A23" s="175"/>
      <c r="B23" s="106"/>
      <c r="C23" s="55"/>
      <c r="D23" s="107"/>
      <c r="E23" s="108">
        <v>6121</v>
      </c>
      <c r="F23" s="57" t="s">
        <v>57</v>
      </c>
      <c r="G23" s="62">
        <v>0</v>
      </c>
      <c r="H23" s="62">
        <f>ROUND((13934.042/2-6223.11395)/1.2*1.21,5)+ROUND(-653.03388*(1.21/1.2-1),5)</f>
        <v>744.66433</v>
      </c>
      <c r="I23" s="155"/>
      <c r="J23" s="70">
        <f>H23+I23</f>
        <v>744.66433</v>
      </c>
    </row>
    <row r="24" spans="1:10" ht="12.75">
      <c r="A24" s="175"/>
      <c r="B24" s="99" t="s">
        <v>7</v>
      </c>
      <c r="C24" s="47" t="s">
        <v>83</v>
      </c>
      <c r="D24" s="58">
        <v>2212</v>
      </c>
      <c r="E24" s="58" t="s">
        <v>5</v>
      </c>
      <c r="F24" s="52" t="s">
        <v>84</v>
      </c>
      <c r="G24" s="42">
        <f>SUM(G25:G25)</f>
        <v>0</v>
      </c>
      <c r="H24" s="43">
        <f>SUM(H25:H25)</f>
        <v>2589.2288000000003</v>
      </c>
      <c r="I24" s="154">
        <f>SUM(I25:I25)</f>
        <v>0</v>
      </c>
      <c r="J24" s="43">
        <f>SUM(J25:J25)</f>
        <v>2589.2288000000003</v>
      </c>
    </row>
    <row r="25" spans="1:11" ht="13.5" thickBot="1">
      <c r="A25" s="175"/>
      <c r="B25" s="105"/>
      <c r="C25" s="79"/>
      <c r="D25" s="101"/>
      <c r="E25" s="71">
        <v>6121</v>
      </c>
      <c r="F25" s="53" t="s">
        <v>57</v>
      </c>
      <c r="G25" s="68">
        <v>0</v>
      </c>
      <c r="H25" s="69">
        <f>ROUND((11102.25-6158.70245-174.99255-2594.32479)/1.2*1.21,5)+396.88</f>
        <v>2589.2288000000003</v>
      </c>
      <c r="I25" s="155"/>
      <c r="J25" s="69">
        <f>H25+I25</f>
        <v>2589.2288000000003</v>
      </c>
      <c r="K25" s="61"/>
    </row>
    <row r="26" spans="1:10" ht="12.75">
      <c r="A26" s="175"/>
      <c r="B26" s="99" t="s">
        <v>7</v>
      </c>
      <c r="C26" s="47" t="s">
        <v>85</v>
      </c>
      <c r="D26" s="58">
        <v>2212</v>
      </c>
      <c r="E26" s="58" t="s">
        <v>5</v>
      </c>
      <c r="F26" s="52" t="s">
        <v>94</v>
      </c>
      <c r="G26" s="42">
        <f>SUM(G27:G27)</f>
        <v>0</v>
      </c>
      <c r="H26" s="42">
        <f>SUM(H27:H27)</f>
        <v>4344.05125</v>
      </c>
      <c r="I26" s="154">
        <f>SUM(I27:I27)</f>
        <v>0</v>
      </c>
      <c r="J26" s="43">
        <f>SUM(J27:J27)</f>
        <v>4344.05125</v>
      </c>
    </row>
    <row r="27" spans="1:12" ht="13.5" thickBot="1">
      <c r="A27" s="175"/>
      <c r="B27" s="109"/>
      <c r="C27" s="56"/>
      <c r="D27" s="110"/>
      <c r="E27" s="111">
        <v>6121</v>
      </c>
      <c r="F27" s="50" t="s">
        <v>57</v>
      </c>
      <c r="G27" s="66">
        <v>0</v>
      </c>
      <c r="H27" s="66">
        <f>ROUND((4232.55+(2*46.8-18))/1.2*1.21,5)</f>
        <v>4344.05125</v>
      </c>
      <c r="I27" s="155"/>
      <c r="J27" s="69">
        <f>H27+I27</f>
        <v>4344.05125</v>
      </c>
      <c r="L27" s="112"/>
    </row>
    <row r="28" spans="1:10" ht="12.75">
      <c r="A28" s="175"/>
      <c r="B28" s="99" t="s">
        <v>7</v>
      </c>
      <c r="C28" s="47" t="s">
        <v>86</v>
      </c>
      <c r="D28" s="58">
        <v>2212</v>
      </c>
      <c r="E28" s="58" t="s">
        <v>5</v>
      </c>
      <c r="F28" s="52" t="s">
        <v>93</v>
      </c>
      <c r="G28" s="42">
        <f>SUM(G29:G29)</f>
        <v>0</v>
      </c>
      <c r="H28" s="42">
        <f>SUM(H29:H29)</f>
        <v>4021.81918</v>
      </c>
      <c r="I28" s="154">
        <f>SUM(I29:I29)</f>
        <v>0</v>
      </c>
      <c r="J28" s="43">
        <f>SUM(J29:J29)</f>
        <v>4021.81918</v>
      </c>
    </row>
    <row r="29" spans="1:10" ht="13.5" thickBot="1">
      <c r="A29" s="175"/>
      <c r="B29" s="113"/>
      <c r="C29" s="54"/>
      <c r="D29" s="114"/>
      <c r="E29" s="71">
        <v>6121</v>
      </c>
      <c r="F29" s="51" t="s">
        <v>57</v>
      </c>
      <c r="G29" s="68">
        <v>0</v>
      </c>
      <c r="H29" s="68">
        <f>ROUND((3839.178+115.2+18+16.203)/1.2*1.21,5)</f>
        <v>4021.81918</v>
      </c>
      <c r="I29" s="155"/>
      <c r="J29" s="69">
        <f>H29+I29</f>
        <v>4021.81918</v>
      </c>
    </row>
    <row r="30" spans="1:10" ht="12.75">
      <c r="A30" s="175"/>
      <c r="B30" s="99" t="s">
        <v>7</v>
      </c>
      <c r="C30" s="47" t="s">
        <v>87</v>
      </c>
      <c r="D30" s="58">
        <v>2212</v>
      </c>
      <c r="E30" s="58" t="s">
        <v>5</v>
      </c>
      <c r="F30" s="52" t="s">
        <v>92</v>
      </c>
      <c r="G30" s="42">
        <f>SUM(G31:G31)</f>
        <v>0</v>
      </c>
      <c r="H30" s="42">
        <f>SUM(H31:H31)</f>
        <v>4245.18075</v>
      </c>
      <c r="I30" s="154">
        <f>SUM(I31:I31)</f>
        <v>0</v>
      </c>
      <c r="J30" s="43">
        <f>SUM(J31:J31)</f>
        <v>4245.18075</v>
      </c>
    </row>
    <row r="31" spans="1:10" ht="13.5" thickBot="1">
      <c r="A31" s="175"/>
      <c r="B31" s="109"/>
      <c r="C31" s="56"/>
      <c r="D31" s="110"/>
      <c r="E31" s="111">
        <v>6121</v>
      </c>
      <c r="F31" s="50" t="s">
        <v>57</v>
      </c>
      <c r="G31" s="68">
        <v>0</v>
      </c>
      <c r="H31" s="68">
        <f>4108.38017+ROUND((104.4+18+13.27)/1.2*1.21,5)</f>
        <v>4245.18075</v>
      </c>
      <c r="I31" s="155"/>
      <c r="J31" s="69">
        <f>H31+I31</f>
        <v>4245.18075</v>
      </c>
    </row>
    <row r="32" spans="1:10" ht="12.75">
      <c r="A32" s="175"/>
      <c r="B32" s="99" t="s">
        <v>7</v>
      </c>
      <c r="C32" s="47" t="s">
        <v>88</v>
      </c>
      <c r="D32" s="58">
        <v>2212</v>
      </c>
      <c r="E32" s="58" t="s">
        <v>5</v>
      </c>
      <c r="F32" s="115" t="s">
        <v>90</v>
      </c>
      <c r="G32" s="42">
        <f>SUM(G33:G33)</f>
        <v>0</v>
      </c>
      <c r="H32" s="42">
        <f>SUM(H33:H33)</f>
        <v>6065.44968</v>
      </c>
      <c r="I32" s="154">
        <f>SUM(I33:I33)</f>
        <v>0</v>
      </c>
      <c r="J32" s="43">
        <f>SUM(J33:J33)</f>
        <v>6065.44968</v>
      </c>
    </row>
    <row r="33" spans="1:10" ht="13.5" thickBot="1">
      <c r="A33" s="175"/>
      <c r="B33" s="109"/>
      <c r="C33" s="56"/>
      <c r="D33" s="110"/>
      <c r="E33" s="111">
        <v>6121</v>
      </c>
      <c r="F33" s="50" t="s">
        <v>57</v>
      </c>
      <c r="G33" s="68">
        <v>0</v>
      </c>
      <c r="H33" s="68">
        <f>ROUND((5847.322+114+18+36)/1.2*1.21,5)</f>
        <v>6065.44968</v>
      </c>
      <c r="I33" s="155"/>
      <c r="J33" s="69">
        <f>H33+I33</f>
        <v>6065.44968</v>
      </c>
    </row>
    <row r="34" spans="1:10" ht="12.75">
      <c r="A34" s="175"/>
      <c r="B34" s="99" t="s">
        <v>7</v>
      </c>
      <c r="C34" s="47" t="s">
        <v>89</v>
      </c>
      <c r="D34" s="58">
        <v>2212</v>
      </c>
      <c r="E34" s="58" t="s">
        <v>5</v>
      </c>
      <c r="F34" s="115" t="s">
        <v>91</v>
      </c>
      <c r="G34" s="42">
        <f>SUM(G35:G35)</f>
        <v>0</v>
      </c>
      <c r="H34" s="42">
        <f>SUM(H35:H35)</f>
        <v>4855.64389</v>
      </c>
      <c r="I34" s="154">
        <f>SUM(I35:I35)</f>
        <v>0</v>
      </c>
      <c r="J34" s="43">
        <f>SUM(J35:J35)</f>
        <v>4855.64389</v>
      </c>
    </row>
    <row r="35" spans="1:10" ht="13.5" thickBot="1">
      <c r="A35" s="175"/>
      <c r="B35" s="113"/>
      <c r="C35" s="54"/>
      <c r="D35" s="114"/>
      <c r="E35" s="71">
        <v>6121</v>
      </c>
      <c r="F35" s="51" t="s">
        <v>57</v>
      </c>
      <c r="G35" s="68">
        <v>0</v>
      </c>
      <c r="H35" s="68">
        <f>ROUND(((7003.665-2379.7234)+(214.8+18+51.287-54-38.514))/1.2*1.21,5)</f>
        <v>4855.64389</v>
      </c>
      <c r="I35" s="155"/>
      <c r="J35" s="69">
        <f>H35+I35</f>
        <v>4855.64389</v>
      </c>
    </row>
    <row r="36" spans="1:10" ht="12.75">
      <c r="A36" s="175"/>
      <c r="B36" s="99" t="s">
        <v>7</v>
      </c>
      <c r="C36" s="47" t="s">
        <v>170</v>
      </c>
      <c r="D36" s="58">
        <v>2212</v>
      </c>
      <c r="E36" s="58" t="s">
        <v>5</v>
      </c>
      <c r="F36" s="115" t="s">
        <v>171</v>
      </c>
      <c r="G36" s="42">
        <f>SUM(G37:G37)</f>
        <v>0</v>
      </c>
      <c r="H36" s="42">
        <f>SUM(H37:H37)</f>
        <v>514.864</v>
      </c>
      <c r="I36" s="154">
        <f>SUM(I37:I37)</f>
        <v>0</v>
      </c>
      <c r="J36" s="43">
        <f>SUM(J37:J37)</f>
        <v>514.864</v>
      </c>
    </row>
    <row r="37" spans="1:10" ht="13.5" thickBot="1">
      <c r="A37" s="175"/>
      <c r="B37" s="113"/>
      <c r="C37" s="54"/>
      <c r="D37" s="114"/>
      <c r="E37" s="71">
        <v>6121</v>
      </c>
      <c r="F37" s="51" t="s">
        <v>57</v>
      </c>
      <c r="G37" s="68">
        <v>0</v>
      </c>
      <c r="H37" s="68">
        <v>514.864</v>
      </c>
      <c r="I37" s="155"/>
      <c r="J37" s="69">
        <f>H37+I37</f>
        <v>514.864</v>
      </c>
    </row>
    <row r="38" spans="1:10" ht="12.75">
      <c r="A38" s="175"/>
      <c r="B38" s="99" t="s">
        <v>7</v>
      </c>
      <c r="C38" s="47" t="s">
        <v>95</v>
      </c>
      <c r="D38" s="58">
        <v>2212</v>
      </c>
      <c r="E38" s="58" t="s">
        <v>5</v>
      </c>
      <c r="F38" s="115" t="s">
        <v>98</v>
      </c>
      <c r="G38" s="42">
        <f>SUM(G39:G39)</f>
        <v>0</v>
      </c>
      <c r="H38" s="42">
        <f>SUM(H39:H39)</f>
        <v>7194.68319</v>
      </c>
      <c r="I38" s="154">
        <f>SUM(I39:I39)</f>
        <v>0</v>
      </c>
      <c r="J38" s="43">
        <f>SUM(J39:J39)</f>
        <v>7194.68319</v>
      </c>
    </row>
    <row r="39" spans="1:10" ht="13.5" thickBot="1">
      <c r="A39" s="175"/>
      <c r="B39" s="109"/>
      <c r="C39" s="56"/>
      <c r="D39" s="110"/>
      <c r="E39" s="111">
        <v>6121</v>
      </c>
      <c r="F39" s="50" t="s">
        <v>57</v>
      </c>
      <c r="G39" s="68">
        <v>0</v>
      </c>
      <c r="H39" s="68">
        <f>ROUND((6899.275+176.4+18+41.548)/1.2*1.21,5)</f>
        <v>7194.68319</v>
      </c>
      <c r="I39" s="155"/>
      <c r="J39" s="69">
        <f>H39+I39</f>
        <v>7194.68319</v>
      </c>
    </row>
    <row r="40" spans="1:10" ht="12.75">
      <c r="A40" s="175"/>
      <c r="B40" s="99" t="s">
        <v>7</v>
      </c>
      <c r="C40" s="47" t="s">
        <v>96</v>
      </c>
      <c r="D40" s="58">
        <v>2212</v>
      </c>
      <c r="E40" s="58" t="s">
        <v>5</v>
      </c>
      <c r="F40" s="115" t="s">
        <v>101</v>
      </c>
      <c r="G40" s="42">
        <f>SUM(G41:G41)</f>
        <v>0</v>
      </c>
      <c r="H40" s="42">
        <f>SUM(H41:H41)</f>
        <v>4209.7957</v>
      </c>
      <c r="I40" s="154">
        <f>SUM(I41:I41)</f>
        <v>0</v>
      </c>
      <c r="J40" s="43">
        <f>SUM(J41:J41)</f>
        <v>4209.7957</v>
      </c>
    </row>
    <row r="41" spans="1:10" ht="13.5" thickBot="1">
      <c r="A41" s="175"/>
      <c r="B41" s="113"/>
      <c r="C41" s="54"/>
      <c r="D41" s="114"/>
      <c r="E41" s="71">
        <v>6121</v>
      </c>
      <c r="F41" s="51" t="s">
        <v>57</v>
      </c>
      <c r="G41" s="68">
        <v>0</v>
      </c>
      <c r="H41" s="68">
        <f>ROUND(((4019.004)+(114+42))/1.2*1.21,5)</f>
        <v>4209.7957</v>
      </c>
      <c r="I41" s="155"/>
      <c r="J41" s="69">
        <f>H41+I41</f>
        <v>4209.7957</v>
      </c>
    </row>
    <row r="42" spans="1:10" ht="12.75">
      <c r="A42" s="175"/>
      <c r="B42" s="99" t="s">
        <v>7</v>
      </c>
      <c r="C42" s="47" t="s">
        <v>97</v>
      </c>
      <c r="D42" s="58">
        <v>2212</v>
      </c>
      <c r="E42" s="58" t="s">
        <v>5</v>
      </c>
      <c r="F42" s="115" t="s">
        <v>102</v>
      </c>
      <c r="G42" s="42">
        <f>SUM(G43:G43)</f>
        <v>0</v>
      </c>
      <c r="H42" s="42">
        <f>SUM(H43:H43)</f>
        <v>3289.65716</v>
      </c>
      <c r="I42" s="154">
        <f>SUM(I43:I43)</f>
        <v>0</v>
      </c>
      <c r="J42" s="43">
        <f>SUM(J43:J43)</f>
        <v>3289.65716</v>
      </c>
    </row>
    <row r="43" spans="1:10" ht="13.5" thickBot="1">
      <c r="A43" s="175"/>
      <c r="B43" s="113"/>
      <c r="C43" s="54"/>
      <c r="D43" s="114"/>
      <c r="E43" s="71">
        <v>6121</v>
      </c>
      <c r="F43" s="51" t="s">
        <v>57</v>
      </c>
      <c r="G43" s="68">
        <v>0</v>
      </c>
      <c r="H43" s="68">
        <f>3236.888+ROUND((98.4+18+8.734-26.4-24.9864)/1.2*1.21,5)+ROUND(-2591.16*(1.21/1.2-1),5)</f>
        <v>3289.65716</v>
      </c>
      <c r="I43" s="155"/>
      <c r="J43" s="69">
        <f>H43+I43</f>
        <v>3289.65716</v>
      </c>
    </row>
    <row r="44" spans="1:10" ht="12.75">
      <c r="A44" s="175"/>
      <c r="B44" s="99" t="s">
        <v>7</v>
      </c>
      <c r="C44" s="47" t="s">
        <v>99</v>
      </c>
      <c r="D44" s="58">
        <v>2212</v>
      </c>
      <c r="E44" s="58" t="s">
        <v>5</v>
      </c>
      <c r="F44" s="115" t="s">
        <v>103</v>
      </c>
      <c r="G44" s="42">
        <f>SUM(G45:G45)</f>
        <v>0</v>
      </c>
      <c r="H44" s="42">
        <f>SUM(H45:H45)</f>
        <v>6817.17035</v>
      </c>
      <c r="I44" s="154">
        <f>SUM(I45:I45)</f>
        <v>0</v>
      </c>
      <c r="J44" s="43">
        <f>SUM(J45:J45)</f>
        <v>6817.17035</v>
      </c>
    </row>
    <row r="45" spans="1:10" ht="13.5" thickBot="1">
      <c r="A45" s="175"/>
      <c r="B45" s="113"/>
      <c r="C45" s="54"/>
      <c r="D45" s="114"/>
      <c r="E45" s="71">
        <v>6121</v>
      </c>
      <c r="F45" s="51" t="s">
        <v>57</v>
      </c>
      <c r="G45" s="68">
        <v>0</v>
      </c>
      <c r="H45" s="68">
        <f>6635.144+ROUND((136.8+18+25.722)/1.2*1.21,5)</f>
        <v>6817.17035</v>
      </c>
      <c r="I45" s="155"/>
      <c r="J45" s="69">
        <f>H45+I45</f>
        <v>6817.17035</v>
      </c>
    </row>
    <row r="46" spans="1:10" ht="12.75">
      <c r="A46" s="175"/>
      <c r="B46" s="99" t="s">
        <v>7</v>
      </c>
      <c r="C46" s="47" t="s">
        <v>100</v>
      </c>
      <c r="D46" s="58">
        <v>2212</v>
      </c>
      <c r="E46" s="58" t="s">
        <v>5</v>
      </c>
      <c r="F46" s="115" t="s">
        <v>104</v>
      </c>
      <c r="G46" s="42">
        <f>SUM(G47:G47)</f>
        <v>0</v>
      </c>
      <c r="H46" s="42">
        <f>SUM(H47:H47)</f>
        <v>6704.98913</v>
      </c>
      <c r="I46" s="154">
        <f>SUM(I47:I47)</f>
        <v>0</v>
      </c>
      <c r="J46" s="43">
        <f>SUM(J47:J47)</f>
        <v>6704.98913</v>
      </c>
    </row>
    <row r="47" spans="1:10" ht="13.5" thickBot="1">
      <c r="A47" s="175"/>
      <c r="B47" s="113"/>
      <c r="C47" s="54"/>
      <c r="D47" s="114"/>
      <c r="E47" s="71">
        <v>6121</v>
      </c>
      <c r="F47" s="51" t="s">
        <v>57</v>
      </c>
      <c r="G47" s="68">
        <v>0</v>
      </c>
      <c r="H47" s="68">
        <f>ROUND((6576.336+58.8+12+2.44)/1.2*1.21,5)</f>
        <v>6704.98913</v>
      </c>
      <c r="I47" s="155"/>
      <c r="J47" s="69">
        <f>H47+I47</f>
        <v>6704.98913</v>
      </c>
    </row>
    <row r="48" spans="1:10" ht="12.75">
      <c r="A48" s="175"/>
      <c r="B48" s="99" t="s">
        <v>7</v>
      </c>
      <c r="C48" s="47" t="s">
        <v>154</v>
      </c>
      <c r="D48" s="58">
        <v>2212</v>
      </c>
      <c r="E48" s="58" t="s">
        <v>5</v>
      </c>
      <c r="F48" s="115" t="s">
        <v>168</v>
      </c>
      <c r="G48" s="42">
        <f>SUM(G49:G49)</f>
        <v>0</v>
      </c>
      <c r="H48" s="116">
        <f>SUM(H49:H49)</f>
        <v>3316.78787</v>
      </c>
      <c r="I48" s="154">
        <f>SUM(I49:I49)</f>
        <v>0</v>
      </c>
      <c r="J48" s="43">
        <f>SUM(J49:J49)</f>
        <v>3316.78787</v>
      </c>
    </row>
    <row r="49" spans="1:10" ht="13.5" thickBot="1">
      <c r="A49" s="175"/>
      <c r="B49" s="113"/>
      <c r="C49" s="54"/>
      <c r="D49" s="114"/>
      <c r="E49" s="71">
        <v>6121</v>
      </c>
      <c r="F49" s="51" t="s">
        <v>57</v>
      </c>
      <c r="G49" s="68">
        <v>0</v>
      </c>
      <c r="H49" s="117">
        <f>ROUND(2689.147*1.21,5)+62.92</f>
        <v>3316.78787</v>
      </c>
      <c r="I49" s="155"/>
      <c r="J49" s="69">
        <f>H49+I49</f>
        <v>3316.78787</v>
      </c>
    </row>
    <row r="50" spans="1:10" ht="12.75">
      <c r="A50" s="175"/>
      <c r="B50" s="99" t="s">
        <v>7</v>
      </c>
      <c r="C50" s="47" t="s">
        <v>155</v>
      </c>
      <c r="D50" s="58">
        <v>2212</v>
      </c>
      <c r="E50" s="58" t="s">
        <v>5</v>
      </c>
      <c r="F50" s="52" t="s">
        <v>164</v>
      </c>
      <c r="G50" s="42">
        <f>SUM(G51:G51)</f>
        <v>0</v>
      </c>
      <c r="H50" s="116">
        <f>SUM(H51:H51)</f>
        <v>2774.9353499999997</v>
      </c>
      <c r="I50" s="154">
        <f>SUM(I51:I51)</f>
        <v>0</v>
      </c>
      <c r="J50" s="43">
        <f>SUM(J51:J51)</f>
        <v>2774.9353499999997</v>
      </c>
    </row>
    <row r="51" spans="1:10" ht="13.5" thickBot="1">
      <c r="A51" s="175"/>
      <c r="B51" s="113"/>
      <c r="C51" s="54"/>
      <c r="D51" s="114"/>
      <c r="E51" s="71">
        <v>6121</v>
      </c>
      <c r="F51" s="51" t="s">
        <v>57</v>
      </c>
      <c r="G51" s="68">
        <v>0</v>
      </c>
      <c r="H51" s="117">
        <f>ROUND(2246.335*1.21,5)+56.87</f>
        <v>2774.9353499999997</v>
      </c>
      <c r="I51" s="155"/>
      <c r="J51" s="69">
        <f>H51+I51</f>
        <v>2774.9353499999997</v>
      </c>
    </row>
    <row r="52" spans="1:12" ht="12.75">
      <c r="A52" s="175"/>
      <c r="B52" s="99" t="s">
        <v>7</v>
      </c>
      <c r="C52" s="47" t="s">
        <v>105</v>
      </c>
      <c r="D52" s="58">
        <v>2212</v>
      </c>
      <c r="E52" s="58" t="s">
        <v>5</v>
      </c>
      <c r="F52" s="115" t="s">
        <v>165</v>
      </c>
      <c r="G52" s="42">
        <f>SUM(G53:G53)</f>
        <v>0</v>
      </c>
      <c r="H52" s="42">
        <f>SUM(H53:H53)</f>
        <v>3818.1719399999997</v>
      </c>
      <c r="I52" s="154">
        <f>SUM(I53:I53)</f>
        <v>0</v>
      </c>
      <c r="J52" s="43">
        <f>SUM(J53:J53)</f>
        <v>3818.1719399999997</v>
      </c>
      <c r="L52" s="118"/>
    </row>
    <row r="53" spans="1:10" ht="13.5" thickBot="1">
      <c r="A53" s="175"/>
      <c r="B53" s="109"/>
      <c r="C53" s="56"/>
      <c r="D53" s="110"/>
      <c r="E53" s="111">
        <v>6121</v>
      </c>
      <c r="F53" s="50" t="s">
        <v>57</v>
      </c>
      <c r="G53" s="68">
        <v>0</v>
      </c>
      <c r="H53" s="68">
        <f>ROUND(2978.514*1.21,5)+(355.2-211.2)/1.2*1.21+68.97</f>
        <v>3818.1719399999997</v>
      </c>
      <c r="I53" s="155"/>
      <c r="J53" s="69">
        <f>H53+I53</f>
        <v>3818.1719399999997</v>
      </c>
    </row>
    <row r="54" spans="1:10" ht="12.75">
      <c r="A54" s="175"/>
      <c r="B54" s="99" t="s">
        <v>7</v>
      </c>
      <c r="C54" s="47" t="s">
        <v>106</v>
      </c>
      <c r="D54" s="58">
        <v>2212</v>
      </c>
      <c r="E54" s="58" t="s">
        <v>5</v>
      </c>
      <c r="F54" s="52" t="s">
        <v>111</v>
      </c>
      <c r="G54" s="49">
        <f>SUM(G55:G55)</f>
        <v>0</v>
      </c>
      <c r="H54" s="42">
        <f>SUM(H55:H55)</f>
        <v>5593.54</v>
      </c>
      <c r="I54" s="154">
        <f>SUM(I55:I55)</f>
        <v>0</v>
      </c>
      <c r="J54" s="43">
        <f>SUM(J55:J55)</f>
        <v>5593.54</v>
      </c>
    </row>
    <row r="55" spans="1:10" ht="13.5" thickBot="1">
      <c r="A55" s="175"/>
      <c r="B55" s="113"/>
      <c r="C55" s="54"/>
      <c r="D55" s="114"/>
      <c r="E55" s="71">
        <v>6121</v>
      </c>
      <c r="F55" s="51" t="s">
        <v>57</v>
      </c>
      <c r="G55" s="66">
        <v>0</v>
      </c>
      <c r="H55" s="68">
        <f>5475.25+118.29</f>
        <v>5593.54</v>
      </c>
      <c r="I55" s="155"/>
      <c r="J55" s="69">
        <f>H55+I55</f>
        <v>5593.54</v>
      </c>
    </row>
    <row r="56" spans="1:10" ht="12.75">
      <c r="A56" s="175"/>
      <c r="B56" s="99" t="s">
        <v>7</v>
      </c>
      <c r="C56" s="47" t="s">
        <v>107</v>
      </c>
      <c r="D56" s="58">
        <v>2212</v>
      </c>
      <c r="E56" s="58" t="s">
        <v>5</v>
      </c>
      <c r="F56" s="115" t="s">
        <v>112</v>
      </c>
      <c r="G56" s="42">
        <f>SUM(G57:G57)</f>
        <v>0</v>
      </c>
      <c r="H56" s="42">
        <f>SUM(H57:H57)</f>
        <v>6591.79</v>
      </c>
      <c r="I56" s="154">
        <f>SUM(I57:I57)</f>
        <v>0</v>
      </c>
      <c r="J56" s="43">
        <f>SUM(J57:J57)</f>
        <v>6591.79</v>
      </c>
    </row>
    <row r="57" spans="1:10" ht="13.5" thickBot="1">
      <c r="A57" s="175"/>
      <c r="B57" s="113"/>
      <c r="C57" s="54"/>
      <c r="D57" s="114"/>
      <c r="E57" s="71">
        <v>6121</v>
      </c>
      <c r="F57" s="51" t="s">
        <v>57</v>
      </c>
      <c r="G57" s="68">
        <v>0</v>
      </c>
      <c r="H57" s="68">
        <f>6473.5+118.29</f>
        <v>6591.79</v>
      </c>
      <c r="I57" s="155"/>
      <c r="J57" s="69">
        <f>H57+I57</f>
        <v>6591.79</v>
      </c>
    </row>
    <row r="58" spans="1:10" ht="12.75">
      <c r="A58" s="175"/>
      <c r="B58" s="99" t="s">
        <v>7</v>
      </c>
      <c r="C58" s="47" t="s">
        <v>108</v>
      </c>
      <c r="D58" s="58">
        <v>2212</v>
      </c>
      <c r="E58" s="58" t="s">
        <v>5</v>
      </c>
      <c r="F58" s="52" t="s">
        <v>113</v>
      </c>
      <c r="G58" s="49">
        <f>SUM(G59:G59)</f>
        <v>0</v>
      </c>
      <c r="H58" s="42">
        <f>SUM(H59:H59)</f>
        <v>2961.58</v>
      </c>
      <c r="I58" s="154">
        <f>SUM(I59:I59)</f>
        <v>0</v>
      </c>
      <c r="J58" s="43">
        <f>SUM(J59:J59)</f>
        <v>2961.58</v>
      </c>
    </row>
    <row r="59" spans="1:10" ht="13.5" thickBot="1">
      <c r="A59" s="175"/>
      <c r="B59" s="113"/>
      <c r="C59" s="54"/>
      <c r="D59" s="114"/>
      <c r="E59" s="71">
        <v>6121</v>
      </c>
      <c r="F59" s="51" t="s">
        <v>57</v>
      </c>
      <c r="G59" s="66">
        <v>0</v>
      </c>
      <c r="H59" s="62">
        <f>2872.282+89.298</f>
        <v>2961.58</v>
      </c>
      <c r="I59" s="155"/>
      <c r="J59" s="69">
        <f>H59+I59</f>
        <v>2961.58</v>
      </c>
    </row>
    <row r="60" spans="1:10" ht="12.75">
      <c r="A60" s="175"/>
      <c r="B60" s="99" t="s">
        <v>7</v>
      </c>
      <c r="C60" s="47" t="s">
        <v>109</v>
      </c>
      <c r="D60" s="58">
        <v>2212</v>
      </c>
      <c r="E60" s="58" t="s">
        <v>5</v>
      </c>
      <c r="F60" s="115" t="s">
        <v>152</v>
      </c>
      <c r="G60" s="42">
        <f>SUM(G61:G61)</f>
        <v>0</v>
      </c>
      <c r="H60" s="42">
        <f>SUM(H61:H61)</f>
        <v>6983.394</v>
      </c>
      <c r="I60" s="154">
        <f>SUM(I61:I61)</f>
        <v>0</v>
      </c>
      <c r="J60" s="43">
        <f>SUM(J61:J61)</f>
        <v>6983.394</v>
      </c>
    </row>
    <row r="61" spans="1:10" ht="13.5" thickBot="1">
      <c r="A61" s="175"/>
      <c r="B61" s="109"/>
      <c r="C61" s="56"/>
      <c r="D61" s="110"/>
      <c r="E61" s="111">
        <v>6121</v>
      </c>
      <c r="F61" s="50" t="s">
        <v>57</v>
      </c>
      <c r="G61" s="68">
        <v>0</v>
      </c>
      <c r="H61" s="68">
        <f>6655+ROUND((355.2-103.92)/1.2*1.21,5)+75.02</f>
        <v>6983.394</v>
      </c>
      <c r="I61" s="155"/>
      <c r="J61" s="69">
        <f>H61+I61</f>
        <v>6983.394</v>
      </c>
    </row>
    <row r="62" spans="1:10" ht="12.75">
      <c r="A62" s="175"/>
      <c r="B62" s="99" t="s">
        <v>7</v>
      </c>
      <c r="C62" s="47" t="s">
        <v>110</v>
      </c>
      <c r="D62" s="58">
        <v>2212</v>
      </c>
      <c r="E62" s="58" t="s">
        <v>5</v>
      </c>
      <c r="F62" s="52" t="s">
        <v>166</v>
      </c>
      <c r="G62" s="42">
        <f>SUM(G63:G63)</f>
        <v>0</v>
      </c>
      <c r="H62" s="42">
        <f>SUM(H63:H63)</f>
        <v>4948.1756</v>
      </c>
      <c r="I62" s="154">
        <f>SUM(I63:I63)</f>
        <v>0</v>
      </c>
      <c r="J62" s="43">
        <f>SUM(J63:J63)</f>
        <v>4948.1756</v>
      </c>
    </row>
    <row r="63" spans="1:10" ht="13.5" thickBot="1">
      <c r="A63" s="175"/>
      <c r="B63" s="113"/>
      <c r="C63" s="54"/>
      <c r="D63" s="114"/>
      <c r="E63" s="71">
        <v>6121</v>
      </c>
      <c r="F63" s="51" t="s">
        <v>57</v>
      </c>
      <c r="G63" s="68">
        <v>0</v>
      </c>
      <c r="H63" s="68">
        <f>4858.8776+89.298</f>
        <v>4948.1756</v>
      </c>
      <c r="I63" s="155"/>
      <c r="J63" s="69">
        <f>H63+I63</f>
        <v>4948.1756</v>
      </c>
    </row>
    <row r="64" spans="1:10" ht="12.75">
      <c r="A64" s="175"/>
      <c r="B64" s="99" t="s">
        <v>7</v>
      </c>
      <c r="C64" s="47" t="s">
        <v>114</v>
      </c>
      <c r="D64" s="58">
        <v>2212</v>
      </c>
      <c r="E64" s="58" t="s">
        <v>5</v>
      </c>
      <c r="F64" s="52" t="s">
        <v>115</v>
      </c>
      <c r="G64" s="42">
        <f>SUM(G65:G65)</f>
        <v>0</v>
      </c>
      <c r="H64" s="42">
        <f>SUM(H65:H65)</f>
        <v>1185.37844</v>
      </c>
      <c r="I64" s="154">
        <f>SUM(I65:I65)</f>
        <v>0</v>
      </c>
      <c r="J64" s="43">
        <f>SUM(J65:J65)</f>
        <v>1185.37844</v>
      </c>
    </row>
    <row r="65" spans="1:10" ht="13.5" thickBot="1">
      <c r="A65" s="175"/>
      <c r="B65" s="113"/>
      <c r="C65" s="54"/>
      <c r="D65" s="114"/>
      <c r="E65" s="71">
        <v>5171</v>
      </c>
      <c r="F65" s="119" t="s">
        <v>70</v>
      </c>
      <c r="G65" s="68">
        <v>0</v>
      </c>
      <c r="H65" s="68">
        <f>ROUND((3240.68568-2065.10376)/1.2*1.21,5)</f>
        <v>1185.37844</v>
      </c>
      <c r="I65" s="155"/>
      <c r="J65" s="69">
        <f>H65+I65</f>
        <v>1185.37844</v>
      </c>
    </row>
    <row r="66" spans="1:12" ht="12.75">
      <c r="A66" s="175"/>
      <c r="B66" s="99" t="s">
        <v>7</v>
      </c>
      <c r="C66" s="47" t="s">
        <v>116</v>
      </c>
      <c r="D66" s="58">
        <v>2212</v>
      </c>
      <c r="E66" s="58" t="s">
        <v>5</v>
      </c>
      <c r="F66" s="52" t="s">
        <v>117</v>
      </c>
      <c r="G66" s="42">
        <f>SUM(G67:G68)</f>
        <v>0</v>
      </c>
      <c r="H66" s="42">
        <f>SUM(H67:H68)</f>
        <v>7038.06465</v>
      </c>
      <c r="I66" s="156">
        <f>SUM(I67:I68)</f>
        <v>0</v>
      </c>
      <c r="J66" s="43">
        <f>SUM(J67:J68)</f>
        <v>7038.06465</v>
      </c>
      <c r="L66" s="60"/>
    </row>
    <row r="67" spans="1:10" ht="12.75">
      <c r="A67" s="175"/>
      <c r="B67" s="106"/>
      <c r="C67" s="132"/>
      <c r="D67" s="133"/>
      <c r="E67" s="108">
        <v>5169</v>
      </c>
      <c r="F67" s="128" t="s">
        <v>81</v>
      </c>
      <c r="G67" s="134">
        <v>0</v>
      </c>
      <c r="H67" s="70">
        <f>402/1.2*1.21</f>
        <v>405.34999999999997</v>
      </c>
      <c r="I67" s="157"/>
      <c r="J67" s="70">
        <f>H67+I67</f>
        <v>405.34999999999997</v>
      </c>
    </row>
    <row r="68" spans="1:10" ht="13.5" thickBot="1">
      <c r="A68" s="175"/>
      <c r="B68" s="123"/>
      <c r="C68" s="55"/>
      <c r="D68" s="107"/>
      <c r="E68" s="124">
        <v>5171</v>
      </c>
      <c r="F68" s="131" t="s">
        <v>70</v>
      </c>
      <c r="G68" s="125">
        <v>0</v>
      </c>
      <c r="H68" s="69">
        <f>ROUND((14570.708-2707.67083-5084.13717-201.00117)/1.2*1.21,5)</f>
        <v>6632.71465</v>
      </c>
      <c r="I68" s="157"/>
      <c r="J68" s="69">
        <f>H68+I68</f>
        <v>6632.71465</v>
      </c>
    </row>
    <row r="69" spans="1:12" ht="12.75">
      <c r="A69" s="175"/>
      <c r="B69" s="99" t="s">
        <v>7</v>
      </c>
      <c r="C69" s="47" t="s">
        <v>118</v>
      </c>
      <c r="D69" s="58">
        <v>2212</v>
      </c>
      <c r="E69" s="58" t="s">
        <v>5</v>
      </c>
      <c r="F69" s="52" t="s">
        <v>120</v>
      </c>
      <c r="G69" s="42">
        <f>SUM(G70:G70)</f>
        <v>0</v>
      </c>
      <c r="H69" s="139">
        <f>SUM(H70:H70)</f>
        <v>526.35</v>
      </c>
      <c r="I69" s="154">
        <f>SUM(I70:I70)</f>
        <v>0</v>
      </c>
      <c r="J69" s="43">
        <f>SUM(J70:J70)</f>
        <v>526.35</v>
      </c>
      <c r="L69" s="60"/>
    </row>
    <row r="70" spans="1:10" ht="13.5" thickBot="1">
      <c r="A70" s="175"/>
      <c r="B70" s="113"/>
      <c r="C70" s="54"/>
      <c r="D70" s="114"/>
      <c r="E70" s="71">
        <v>6121</v>
      </c>
      <c r="F70" s="51" t="s">
        <v>57</v>
      </c>
      <c r="G70" s="68">
        <v>0</v>
      </c>
      <c r="H70" s="69">
        <f>522/1.2*1.21</f>
        <v>526.35</v>
      </c>
      <c r="I70" s="155"/>
      <c r="J70" s="69">
        <f>H70+I70</f>
        <v>526.35</v>
      </c>
    </row>
    <row r="71" spans="1:10" ht="12.75">
      <c r="A71" s="175"/>
      <c r="B71" s="99" t="s">
        <v>7</v>
      </c>
      <c r="C71" s="47" t="s">
        <v>119</v>
      </c>
      <c r="D71" s="58">
        <v>2212</v>
      </c>
      <c r="E71" s="58" t="s">
        <v>5</v>
      </c>
      <c r="F71" s="115" t="s">
        <v>121</v>
      </c>
      <c r="G71" s="42">
        <f>SUM(G72:G72)</f>
        <v>0</v>
      </c>
      <c r="H71" s="43">
        <f>SUM(H72:H72)</f>
        <v>458.59</v>
      </c>
      <c r="I71" s="154">
        <f>SUM(I72:I72)</f>
        <v>0</v>
      </c>
      <c r="J71" s="43">
        <f>SUM(J72:J72)</f>
        <v>458.59</v>
      </c>
    </row>
    <row r="72" spans="1:12" ht="13.5" thickBot="1">
      <c r="A72" s="175"/>
      <c r="B72" s="113"/>
      <c r="C72" s="54"/>
      <c r="D72" s="114"/>
      <c r="E72" s="71">
        <v>6121</v>
      </c>
      <c r="F72" s="51" t="s">
        <v>57</v>
      </c>
      <c r="G72" s="68">
        <v>0</v>
      </c>
      <c r="H72" s="69">
        <f>454.8/1.2*1.21</f>
        <v>458.59</v>
      </c>
      <c r="I72" s="155"/>
      <c r="J72" s="69">
        <f>H72+I72</f>
        <v>458.59</v>
      </c>
      <c r="L72" s="60"/>
    </row>
    <row r="73" spans="1:12" ht="13.5" customHeight="1">
      <c r="A73" s="175"/>
      <c r="B73" s="99" t="s">
        <v>7</v>
      </c>
      <c r="C73" s="47" t="s">
        <v>122</v>
      </c>
      <c r="D73" s="58">
        <v>2212</v>
      </c>
      <c r="E73" s="58" t="s">
        <v>5</v>
      </c>
      <c r="F73" s="52" t="s">
        <v>124</v>
      </c>
      <c r="G73" s="49">
        <f>SUM(G74:G74)</f>
        <v>0</v>
      </c>
      <c r="H73" s="43">
        <f>SUM(H74:H74)</f>
        <v>17387.49632</v>
      </c>
      <c r="I73" s="154">
        <f>SUM(I74:I74)</f>
        <v>0</v>
      </c>
      <c r="J73" s="43">
        <f>SUM(J74:J74)</f>
        <v>17387.49632</v>
      </c>
      <c r="L73" s="60"/>
    </row>
    <row r="74" spans="1:12" ht="13.5" thickBot="1">
      <c r="A74" s="175"/>
      <c r="B74" s="113"/>
      <c r="C74" s="54"/>
      <c r="D74" s="114"/>
      <c r="E74" s="71">
        <v>6121</v>
      </c>
      <c r="F74" s="51" t="s">
        <v>57</v>
      </c>
      <c r="G74" s="66">
        <v>0</v>
      </c>
      <c r="H74" s="62">
        <f>ROUND((16945.2+219.6+18+60.998)/1.2*1.21,5)</f>
        <v>17387.49632</v>
      </c>
      <c r="I74" s="155"/>
      <c r="J74" s="69">
        <f>H74+I74</f>
        <v>17387.49632</v>
      </c>
      <c r="L74" s="60"/>
    </row>
    <row r="75" spans="1:12" ht="12.75">
      <c r="A75" s="175"/>
      <c r="B75" s="99" t="s">
        <v>7</v>
      </c>
      <c r="C75" s="47" t="s">
        <v>123</v>
      </c>
      <c r="D75" s="58">
        <v>2212</v>
      </c>
      <c r="E75" s="58" t="s">
        <v>5</v>
      </c>
      <c r="F75" s="115" t="s">
        <v>125</v>
      </c>
      <c r="G75" s="42">
        <f>SUM(G76:G76)</f>
        <v>0</v>
      </c>
      <c r="H75" s="43">
        <f>SUM(H76:H76)</f>
        <v>7527.93333</v>
      </c>
      <c r="I75" s="154">
        <f>SUM(I76:I76)</f>
        <v>0</v>
      </c>
      <c r="J75" s="43">
        <f>SUM(J76:J76)</f>
        <v>7527.93333</v>
      </c>
      <c r="L75" s="60"/>
    </row>
    <row r="76" spans="1:12" ht="13.5" thickBot="1">
      <c r="A76" s="175"/>
      <c r="B76" s="113"/>
      <c r="C76" s="54"/>
      <c r="D76" s="114"/>
      <c r="E76" s="71">
        <v>6121</v>
      </c>
      <c r="F76" s="51" t="s">
        <v>57</v>
      </c>
      <c r="G76" s="68">
        <v>0</v>
      </c>
      <c r="H76" s="69">
        <f>ROUND((7181.16+208.8+18+57.759)/1.2*1.21,5)</f>
        <v>7527.93333</v>
      </c>
      <c r="I76" s="155"/>
      <c r="J76" s="69">
        <f>H76+I76</f>
        <v>7527.93333</v>
      </c>
      <c r="L76" s="60"/>
    </row>
    <row r="77" spans="1:12" ht="12.75">
      <c r="A77" s="175"/>
      <c r="B77" s="99" t="s">
        <v>7</v>
      </c>
      <c r="C77" s="47" t="s">
        <v>126</v>
      </c>
      <c r="D77" s="58">
        <v>2212</v>
      </c>
      <c r="E77" s="58" t="s">
        <v>5</v>
      </c>
      <c r="F77" s="115" t="s">
        <v>127</v>
      </c>
      <c r="G77" s="42">
        <f>SUM(G78:G78)</f>
        <v>0</v>
      </c>
      <c r="H77" s="42">
        <f>SUM(H78:H78)</f>
        <v>394.1212</v>
      </c>
      <c r="I77" s="154">
        <f>SUM(I78:I78)</f>
        <v>0</v>
      </c>
      <c r="J77" s="43">
        <f>SUM(J78:J78)</f>
        <v>394.1212</v>
      </c>
      <c r="L77" s="60"/>
    </row>
    <row r="78" spans="1:12" ht="13.5" thickBot="1">
      <c r="A78" s="175"/>
      <c r="B78" s="113"/>
      <c r="C78" s="54"/>
      <c r="D78" s="114"/>
      <c r="E78" s="71">
        <v>6121</v>
      </c>
      <c r="F78" s="51" t="s">
        <v>57</v>
      </c>
      <c r="G78" s="68">
        <v>0</v>
      </c>
      <c r="H78" s="68">
        <f>ROUND((547.2-39.084-39.084-39.084-39.084)/1.2*1.21,5)</f>
        <v>394.1212</v>
      </c>
      <c r="I78" s="155"/>
      <c r="J78" s="69">
        <f>H78+I78</f>
        <v>394.1212</v>
      </c>
      <c r="L78" s="60"/>
    </row>
    <row r="79" spans="1:12" ht="12.75">
      <c r="A79" s="175"/>
      <c r="B79" s="99" t="s">
        <v>7</v>
      </c>
      <c r="C79" s="47" t="s">
        <v>156</v>
      </c>
      <c r="D79" s="58">
        <v>2212</v>
      </c>
      <c r="E79" s="58" t="s">
        <v>5</v>
      </c>
      <c r="F79" s="52" t="s">
        <v>157</v>
      </c>
      <c r="G79" s="49">
        <f>SUM(G80:G80)</f>
        <v>0</v>
      </c>
      <c r="H79" s="116">
        <f>SUM(H80:H80)</f>
        <v>4779.45</v>
      </c>
      <c r="I79" s="154">
        <f>SUM(I80:I80)</f>
        <v>0</v>
      </c>
      <c r="J79" s="43">
        <f>SUM(J80:J80)</f>
        <v>4779.45</v>
      </c>
      <c r="L79" s="60"/>
    </row>
    <row r="80" spans="1:10" ht="13.5" thickBot="1">
      <c r="A80" s="175"/>
      <c r="B80" s="113"/>
      <c r="C80" s="54"/>
      <c r="D80" s="114"/>
      <c r="E80" s="71">
        <v>6121</v>
      </c>
      <c r="F80" s="51" t="s">
        <v>57</v>
      </c>
      <c r="G80" s="68">
        <v>0</v>
      </c>
      <c r="H80" s="117">
        <f>4711.69+67.76</f>
        <v>4779.45</v>
      </c>
      <c r="I80" s="155"/>
      <c r="J80" s="69">
        <f>H80+I80</f>
        <v>4779.45</v>
      </c>
    </row>
    <row r="81" spans="1:10" ht="12.75">
      <c r="A81" s="175"/>
      <c r="B81" s="99" t="s">
        <v>7</v>
      </c>
      <c r="C81" s="47" t="s">
        <v>131</v>
      </c>
      <c r="D81" s="58">
        <v>2212</v>
      </c>
      <c r="E81" s="58" t="s">
        <v>5</v>
      </c>
      <c r="F81" s="52" t="s">
        <v>167</v>
      </c>
      <c r="G81" s="49">
        <f>SUM(G82:G82)</f>
        <v>0</v>
      </c>
      <c r="H81" s="43">
        <f>SUM(H82:H82)</f>
        <v>8414.759</v>
      </c>
      <c r="I81" s="154">
        <f>SUM(I82:I82)</f>
        <v>0</v>
      </c>
      <c r="J81" s="43">
        <f>SUM(J82:J82)</f>
        <v>8414.759</v>
      </c>
    </row>
    <row r="82" spans="1:10" ht="13.5" thickBot="1">
      <c r="A82" s="175"/>
      <c r="B82" s="113"/>
      <c r="C82" s="54"/>
      <c r="D82" s="114"/>
      <c r="E82" s="71">
        <v>6121</v>
      </c>
      <c r="F82" s="51" t="s">
        <v>57</v>
      </c>
      <c r="G82" s="68">
        <v>0</v>
      </c>
      <c r="H82" s="69">
        <f>8142.509+ROUND((222+48)/1.2*1.21,5)</f>
        <v>8414.759</v>
      </c>
      <c r="I82" s="155"/>
      <c r="J82" s="69">
        <f>H82+I82</f>
        <v>8414.759</v>
      </c>
    </row>
    <row r="83" spans="1:10" ht="12.75">
      <c r="A83" s="175"/>
      <c r="B83" s="99" t="s">
        <v>7</v>
      </c>
      <c r="C83" s="47" t="s">
        <v>132</v>
      </c>
      <c r="D83" s="58">
        <v>2212</v>
      </c>
      <c r="E83" s="58" t="s">
        <v>5</v>
      </c>
      <c r="F83" s="52" t="s">
        <v>133</v>
      </c>
      <c r="G83" s="49">
        <f>SUM(G84:G84)</f>
        <v>0</v>
      </c>
      <c r="H83" s="43">
        <f>SUM(H84:H84)</f>
        <v>482.3928</v>
      </c>
      <c r="I83" s="154">
        <f>SUM(I84:I84)</f>
        <v>0</v>
      </c>
      <c r="J83" s="43">
        <f>SUM(J84:J84)</f>
        <v>482.3928</v>
      </c>
    </row>
    <row r="84" spans="1:10" ht="13.5" thickBot="1">
      <c r="A84" s="175"/>
      <c r="B84" s="113"/>
      <c r="C84" s="54"/>
      <c r="D84" s="114"/>
      <c r="E84" s="71">
        <v>6121</v>
      </c>
      <c r="F84" s="51" t="s">
        <v>57</v>
      </c>
      <c r="G84" s="68">
        <v>0</v>
      </c>
      <c r="H84" s="69">
        <f>ROUND((1100.4-619.509)/1.2*1.21,5)+ROUND(-(300.6756*(1.21/1.2-1)),5)</f>
        <v>482.3928</v>
      </c>
      <c r="I84" s="155"/>
      <c r="J84" s="69">
        <f>H84+I84</f>
        <v>482.3928</v>
      </c>
    </row>
    <row r="85" spans="1:10" ht="22.5">
      <c r="A85" s="175"/>
      <c r="B85" s="99" t="s">
        <v>7</v>
      </c>
      <c r="C85" s="47" t="s">
        <v>134</v>
      </c>
      <c r="D85" s="58">
        <v>2212</v>
      </c>
      <c r="E85" s="58" t="s">
        <v>5</v>
      </c>
      <c r="F85" s="52" t="s">
        <v>135</v>
      </c>
      <c r="G85" s="49">
        <f>SUM(G86:G86)</f>
        <v>0</v>
      </c>
      <c r="H85" s="43">
        <f>SUM(H86:H86)</f>
        <v>8968.220000000001</v>
      </c>
      <c r="I85" s="154">
        <f>SUM(I86:I86)</f>
        <v>0</v>
      </c>
      <c r="J85" s="43">
        <f>SUM(J86:J86)</f>
        <v>8968.220000000001</v>
      </c>
    </row>
    <row r="86" spans="1:10" ht="13.5" thickBot="1">
      <c r="A86" s="175"/>
      <c r="B86" s="113"/>
      <c r="C86" s="54"/>
      <c r="D86" s="114"/>
      <c r="E86" s="71">
        <v>6121</v>
      </c>
      <c r="F86" s="51" t="s">
        <v>57</v>
      </c>
      <c r="G86" s="68">
        <v>0</v>
      </c>
      <c r="H86" s="69">
        <f>8671.77+(222+72)/1.2*1.21</f>
        <v>8968.220000000001</v>
      </c>
      <c r="I86" s="155"/>
      <c r="J86" s="69">
        <f>H86+I86</f>
        <v>8968.220000000001</v>
      </c>
    </row>
    <row r="87" spans="1:10" ht="22.5">
      <c r="A87" s="175"/>
      <c r="B87" s="99" t="s">
        <v>7</v>
      </c>
      <c r="C87" s="47" t="s">
        <v>139</v>
      </c>
      <c r="D87" s="58">
        <v>2212</v>
      </c>
      <c r="E87" s="58" t="s">
        <v>5</v>
      </c>
      <c r="F87" s="52" t="s">
        <v>141</v>
      </c>
      <c r="G87" s="49">
        <f>SUM(G88:G88)</f>
        <v>0</v>
      </c>
      <c r="H87" s="43">
        <f>SUM(H88:H88)</f>
        <v>11579.95208</v>
      </c>
      <c r="I87" s="154">
        <f>SUM(I88:I88)</f>
        <v>0</v>
      </c>
      <c r="J87" s="43">
        <f>SUM(J88:J88)</f>
        <v>11579.95208</v>
      </c>
    </row>
    <row r="88" spans="1:10" ht="13.5" thickBot="1">
      <c r="A88" s="175"/>
      <c r="B88" s="113"/>
      <c r="C88" s="54"/>
      <c r="D88" s="114"/>
      <c r="E88" s="71">
        <v>6121</v>
      </c>
      <c r="F88" s="51" t="s">
        <v>57</v>
      </c>
      <c r="G88" s="68">
        <v>0</v>
      </c>
      <c r="H88" s="69">
        <f>11352.22+ROUND((175.45+74.4-24)/1.2*1.21,5)</f>
        <v>11579.95208</v>
      </c>
      <c r="I88" s="155"/>
      <c r="J88" s="69">
        <f>H88+I88</f>
        <v>11579.95208</v>
      </c>
    </row>
    <row r="89" spans="1:10" ht="12.75">
      <c r="A89" s="175"/>
      <c r="B89" s="99" t="s">
        <v>7</v>
      </c>
      <c r="C89" s="47" t="s">
        <v>140</v>
      </c>
      <c r="D89" s="58">
        <v>2212</v>
      </c>
      <c r="E89" s="58" t="s">
        <v>5</v>
      </c>
      <c r="F89" s="52" t="s">
        <v>153</v>
      </c>
      <c r="G89" s="42">
        <f>SUM(G90:G91)</f>
        <v>0</v>
      </c>
      <c r="H89" s="42">
        <f>SUM(H90:H91)</f>
        <v>462.63381999999996</v>
      </c>
      <c r="I89" s="156">
        <f>SUM(I90:I91)</f>
        <v>0</v>
      </c>
      <c r="J89" s="43">
        <f>SUM(J90:J91)</f>
        <v>462.63381999999996</v>
      </c>
    </row>
    <row r="90" spans="1:10" ht="12.75">
      <c r="A90" s="175"/>
      <c r="B90" s="123"/>
      <c r="C90" s="55"/>
      <c r="D90" s="107"/>
      <c r="E90" s="108">
        <v>5169</v>
      </c>
      <c r="F90" s="128" t="s">
        <v>81</v>
      </c>
      <c r="G90" s="129">
        <v>0</v>
      </c>
      <c r="H90" s="70">
        <f>(30+30-12)/1.2*1.21</f>
        <v>48.4</v>
      </c>
      <c r="I90" s="157"/>
      <c r="J90" s="129">
        <f>H90+I90</f>
        <v>48.4</v>
      </c>
    </row>
    <row r="91" spans="1:10" ht="13.5" thickBot="1">
      <c r="A91" s="175"/>
      <c r="B91" s="113"/>
      <c r="C91" s="54"/>
      <c r="D91" s="114"/>
      <c r="E91" s="71">
        <v>5171</v>
      </c>
      <c r="F91" s="120" t="s">
        <v>70</v>
      </c>
      <c r="G91" s="68">
        <v>0</v>
      </c>
      <c r="H91" s="69">
        <f>ROUND(342.342*1.21,5)</f>
        <v>414.23382</v>
      </c>
      <c r="I91" s="158"/>
      <c r="J91" s="69">
        <f>H91+I91</f>
        <v>414.23382</v>
      </c>
    </row>
    <row r="92" spans="1:10" ht="12.75">
      <c r="A92" s="175"/>
      <c r="B92" s="99" t="s">
        <v>7</v>
      </c>
      <c r="C92" s="47" t="s">
        <v>150</v>
      </c>
      <c r="D92" s="58">
        <v>2212</v>
      </c>
      <c r="E92" s="58" t="s">
        <v>5</v>
      </c>
      <c r="F92" s="89" t="s">
        <v>148</v>
      </c>
      <c r="G92" s="43">
        <f>SUM(G93:G93)</f>
        <v>0</v>
      </c>
      <c r="H92" s="43">
        <f>SUM(H93:H93)</f>
        <v>16906.35</v>
      </c>
      <c r="I92" s="154">
        <f>SUM(I93:I93)</f>
        <v>0</v>
      </c>
      <c r="J92" s="43">
        <f>SUM(J93:J93)</f>
        <v>16906.35</v>
      </c>
    </row>
    <row r="93" spans="1:10" ht="13.5" thickBot="1">
      <c r="A93" s="175"/>
      <c r="B93" s="113"/>
      <c r="C93" s="54"/>
      <c r="D93" s="114"/>
      <c r="E93" s="71">
        <v>6121</v>
      </c>
      <c r="F93" s="121" t="s">
        <v>57</v>
      </c>
      <c r="G93" s="117">
        <v>0</v>
      </c>
      <c r="H93" s="117">
        <f>16505.35+311+90</f>
        <v>16906.35</v>
      </c>
      <c r="I93" s="155"/>
      <c r="J93" s="117">
        <f>H93+I93</f>
        <v>16906.35</v>
      </c>
    </row>
    <row r="94" spans="1:10" ht="12.75">
      <c r="A94" s="175"/>
      <c r="B94" s="99" t="s">
        <v>7</v>
      </c>
      <c r="C94" s="47" t="s">
        <v>151</v>
      </c>
      <c r="D94" s="58">
        <v>2212</v>
      </c>
      <c r="E94" s="58" t="s">
        <v>5</v>
      </c>
      <c r="F94" s="122" t="s">
        <v>149</v>
      </c>
      <c r="G94" s="116">
        <f>SUM(G95:G95)</f>
        <v>0</v>
      </c>
      <c r="H94" s="116">
        <f>SUM(H95:H95)</f>
        <v>21154.170000000002</v>
      </c>
      <c r="I94" s="159">
        <f>SUM(I95:I95)</f>
        <v>0</v>
      </c>
      <c r="J94" s="116">
        <f>SUM(J95:J95)</f>
        <v>21154.170000000002</v>
      </c>
    </row>
    <row r="95" spans="1:10" ht="13.5" thickBot="1">
      <c r="A95" s="175"/>
      <c r="B95" s="152"/>
      <c r="C95" s="126"/>
      <c r="D95" s="127"/>
      <c r="E95" s="108">
        <v>5171</v>
      </c>
      <c r="F95" s="130" t="s">
        <v>70</v>
      </c>
      <c r="G95" s="129">
        <v>0</v>
      </c>
      <c r="H95" s="117">
        <f>20587.43+566.74</f>
        <v>21154.170000000002</v>
      </c>
      <c r="I95" s="160"/>
      <c r="J95" s="129">
        <f>H95+I95</f>
        <v>21154.170000000002</v>
      </c>
    </row>
    <row r="96" spans="1:10" ht="12.75">
      <c r="A96" s="175"/>
      <c r="B96" s="99" t="s">
        <v>7</v>
      </c>
      <c r="C96" s="47" t="s">
        <v>160</v>
      </c>
      <c r="D96" s="58">
        <v>2212</v>
      </c>
      <c r="E96" s="58" t="s">
        <v>5</v>
      </c>
      <c r="F96" s="122" t="s">
        <v>169</v>
      </c>
      <c r="G96" s="116">
        <f>SUM(G97:G97)</f>
        <v>0</v>
      </c>
      <c r="H96" s="43">
        <f>SUM(H97:H97)</f>
        <v>700</v>
      </c>
      <c r="I96" s="154">
        <f>SUM(I97:I97)</f>
        <v>0</v>
      </c>
      <c r="J96" s="116">
        <f>SUM(J97:J97)</f>
        <v>700</v>
      </c>
    </row>
    <row r="97" spans="1:10" ht="13.5" thickBot="1">
      <c r="A97" s="175"/>
      <c r="B97" s="113"/>
      <c r="C97" s="54"/>
      <c r="D97" s="114"/>
      <c r="E97" s="71">
        <v>5171</v>
      </c>
      <c r="F97" s="120" t="s">
        <v>70</v>
      </c>
      <c r="G97" s="117">
        <v>0</v>
      </c>
      <c r="H97" s="117">
        <v>700</v>
      </c>
      <c r="I97" s="155"/>
      <c r="J97" s="117">
        <f>H97+I97</f>
        <v>700</v>
      </c>
    </row>
    <row r="98" spans="1:10" ht="12.75">
      <c r="A98" s="175"/>
      <c r="B98" s="140" t="s">
        <v>7</v>
      </c>
      <c r="C98" s="161" t="s">
        <v>174</v>
      </c>
      <c r="D98" s="141" t="s">
        <v>5</v>
      </c>
      <c r="E98" s="141" t="s">
        <v>5</v>
      </c>
      <c r="F98" s="148" t="s">
        <v>177</v>
      </c>
      <c r="G98" s="149">
        <f>SUM(G99:G99)</f>
        <v>0</v>
      </c>
      <c r="H98" s="149">
        <f>SUM(H99:H99)</f>
        <v>0</v>
      </c>
      <c r="I98" s="154">
        <f>SUM(I99:I99)</f>
        <v>6800.838</v>
      </c>
      <c r="J98" s="116">
        <f>SUM(J99:J99)</f>
        <v>6800.838</v>
      </c>
    </row>
    <row r="99" spans="1:10" ht="13.5" thickBot="1">
      <c r="A99" s="175"/>
      <c r="B99" s="153"/>
      <c r="C99" s="162"/>
      <c r="D99" s="150">
        <v>2212</v>
      </c>
      <c r="E99" s="150">
        <v>6121</v>
      </c>
      <c r="F99" s="57" t="s">
        <v>57</v>
      </c>
      <c r="G99" s="151">
        <v>0</v>
      </c>
      <c r="H99" s="151">
        <v>0</v>
      </c>
      <c r="I99" s="155">
        <v>6800.838</v>
      </c>
      <c r="J99" s="117">
        <f>H99+I99</f>
        <v>6800.838</v>
      </c>
    </row>
    <row r="100" spans="1:10" ht="12.75">
      <c r="A100" s="175"/>
      <c r="B100" s="140" t="s">
        <v>7</v>
      </c>
      <c r="C100" s="161" t="s">
        <v>175</v>
      </c>
      <c r="D100" s="141" t="s">
        <v>5</v>
      </c>
      <c r="E100" s="141" t="s">
        <v>5</v>
      </c>
      <c r="F100" s="142" t="s">
        <v>178</v>
      </c>
      <c r="G100" s="149">
        <f>SUM(G101:G101)</f>
        <v>0</v>
      </c>
      <c r="H100" s="149">
        <f>SUM(H101:H101)</f>
        <v>0</v>
      </c>
      <c r="I100" s="154">
        <f>SUM(I101:I101)</f>
        <v>14076.068</v>
      </c>
      <c r="J100" s="116">
        <f>SUM(J101:J101)</f>
        <v>14076.068</v>
      </c>
    </row>
    <row r="101" spans="1:10" ht="13.5" thickBot="1">
      <c r="A101" s="175"/>
      <c r="B101" s="153"/>
      <c r="C101" s="162"/>
      <c r="D101" s="150">
        <v>2212</v>
      </c>
      <c r="E101" s="150">
        <v>6121</v>
      </c>
      <c r="F101" s="57" t="s">
        <v>57</v>
      </c>
      <c r="G101" s="151">
        <v>0</v>
      </c>
      <c r="H101" s="151">
        <v>0</v>
      </c>
      <c r="I101" s="155">
        <v>14076.068</v>
      </c>
      <c r="J101" s="117">
        <f>H101+I101</f>
        <v>14076.068</v>
      </c>
    </row>
    <row r="102" spans="1:10" ht="12.75">
      <c r="A102" s="175"/>
      <c r="B102" s="140" t="s">
        <v>7</v>
      </c>
      <c r="C102" s="161" t="s">
        <v>176</v>
      </c>
      <c r="D102" s="141" t="s">
        <v>5</v>
      </c>
      <c r="E102" s="141" t="s">
        <v>5</v>
      </c>
      <c r="F102" s="142" t="s">
        <v>179</v>
      </c>
      <c r="G102" s="143">
        <f>SUM(G103:G103)</f>
        <v>0</v>
      </c>
      <c r="H102" s="143">
        <f>SUM(H103:H103)</f>
        <v>0</v>
      </c>
      <c r="I102" s="154">
        <f>SUM(I103:I103)</f>
        <v>20000</v>
      </c>
      <c r="J102" s="116">
        <f>SUM(J103:J103)</f>
        <v>20000</v>
      </c>
    </row>
    <row r="103" spans="1:10" ht="13.5" thickBot="1">
      <c r="A103" s="176"/>
      <c r="B103" s="144"/>
      <c r="C103" s="163"/>
      <c r="D103" s="145">
        <v>2212</v>
      </c>
      <c r="E103" s="146">
        <v>6121</v>
      </c>
      <c r="F103" s="51" t="s">
        <v>57</v>
      </c>
      <c r="G103" s="147">
        <v>0</v>
      </c>
      <c r="H103" s="147">
        <v>0</v>
      </c>
      <c r="I103" s="155">
        <v>20000</v>
      </c>
      <c r="J103" s="117">
        <f>H103+I103</f>
        <v>20000</v>
      </c>
    </row>
  </sheetData>
  <sheetProtection/>
  <mergeCells count="12">
    <mergeCell ref="A1:J1"/>
    <mergeCell ref="A3:J3"/>
    <mergeCell ref="A5:A6"/>
    <mergeCell ref="B5:B6"/>
    <mergeCell ref="C5:C6"/>
    <mergeCell ref="F5:F6"/>
    <mergeCell ref="G5:G6"/>
    <mergeCell ref="I5:J5"/>
    <mergeCell ref="D5:D6"/>
    <mergeCell ref="E5:E6"/>
    <mergeCell ref="H5:H6"/>
    <mergeCell ref="A8:A103"/>
  </mergeCells>
  <printOptions horizontalCentered="1"/>
  <pageMargins left="0.1968503937007874" right="0.1968503937007874" top="0.7874015748031497" bottom="0.7874015748031497" header="0" footer="0"/>
  <pageSetup fitToHeight="2" horizontalDpi="600" verticalDpi="600" orientation="portrait" paperSize="9" scale="90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2013-05-27T14:33:16Z</cp:lastPrinted>
  <dcterms:created xsi:type="dcterms:W3CDTF">2006-09-25T08:49:57Z</dcterms:created>
  <dcterms:modified xsi:type="dcterms:W3CDTF">2013-05-27T14:35:30Z</dcterms:modified>
  <cp:category/>
  <cp:version/>
  <cp:contentType/>
  <cp:contentStatus/>
</cp:coreProperties>
</file>