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765" yWindow="1500" windowWidth="15810" windowHeight="6360"/>
  </bookViews>
  <sheets>
    <sheet name="přehled ROP" sheetId="1" r:id="rId1"/>
  </sheets>
  <definedNames>
    <definedName name="_xlnm.Print_Area" localSheetId="0">'přehled ROP'!$A$1:$R$34</definedName>
  </definedNames>
  <calcPr calcId="145621"/>
</workbook>
</file>

<file path=xl/calcChain.xml><?xml version="1.0" encoding="utf-8"?>
<calcChain xmlns="http://schemas.openxmlformats.org/spreadsheetml/2006/main">
  <c r="N5" i="1" l="1"/>
  <c r="N6" i="1" s="1"/>
  <c r="H6" i="1"/>
  <c r="H7" i="1"/>
  <c r="H8" i="1"/>
  <c r="I8" i="1" s="1"/>
  <c r="H10" i="1"/>
  <c r="I10" i="1" s="1"/>
  <c r="H11" i="1"/>
  <c r="I11" i="1" s="1"/>
  <c r="H12" i="1"/>
  <c r="I12" i="1" s="1"/>
  <c r="H13" i="1"/>
  <c r="I13" i="1" s="1"/>
  <c r="H14" i="1"/>
  <c r="H15" i="1"/>
  <c r="H16" i="1"/>
  <c r="I16" i="1" s="1"/>
  <c r="H17" i="1"/>
  <c r="H18" i="1"/>
  <c r="H19" i="1"/>
  <c r="H20" i="1"/>
  <c r="H21" i="1"/>
  <c r="H25" i="1"/>
  <c r="I25" i="1" s="1"/>
  <c r="H22" i="1"/>
  <c r="H23" i="1"/>
  <c r="I23" i="1" s="1"/>
  <c r="H24" i="1"/>
  <c r="H5" i="1"/>
  <c r="I5" i="1" s="1"/>
  <c r="I6" i="1" l="1"/>
  <c r="I20" i="1"/>
  <c r="I17" i="1"/>
  <c r="I14" i="1"/>
  <c r="Q24" i="1"/>
  <c r="Q23" i="1"/>
  <c r="Q21" i="1"/>
  <c r="Q19" i="1"/>
  <c r="Q18" i="1"/>
  <c r="Q15" i="1"/>
  <c r="Q7" i="1"/>
  <c r="Q5" i="1"/>
  <c r="P24" i="1"/>
  <c r="P23" i="1"/>
  <c r="P21" i="1"/>
  <c r="P19" i="1"/>
  <c r="P18" i="1"/>
  <c r="P15" i="1"/>
  <c r="P6" i="1"/>
  <c r="O6" i="1"/>
  <c r="O24" i="1"/>
  <c r="O23" i="1"/>
  <c r="O21" i="1"/>
  <c r="O19" i="1"/>
  <c r="O18" i="1"/>
  <c r="O15" i="1"/>
  <c r="O7" i="1"/>
  <c r="O5" i="1"/>
  <c r="P5" i="1"/>
  <c r="N8" i="1"/>
  <c r="O8" i="1" s="1"/>
  <c r="Q6" i="1"/>
  <c r="P8" i="1" l="1"/>
  <c r="Q8" i="1"/>
  <c r="M26" i="1"/>
  <c r="J26" i="1"/>
  <c r="K6" i="1" l="1"/>
  <c r="L6" i="1"/>
  <c r="K7" i="1"/>
  <c r="L7" i="1"/>
  <c r="K25" i="1" l="1"/>
  <c r="L25" i="1"/>
  <c r="K20" i="1"/>
  <c r="L20" i="1"/>
  <c r="K21" i="1"/>
  <c r="L21" i="1"/>
  <c r="K17" i="1"/>
  <c r="L17" i="1"/>
  <c r="K18" i="1"/>
  <c r="L18" i="1"/>
  <c r="K19" i="1"/>
  <c r="L19" i="1"/>
  <c r="K5" i="1"/>
  <c r="L5" i="1"/>
  <c r="K8" i="1"/>
  <c r="L8" i="1"/>
  <c r="K16" i="1"/>
  <c r="L16" i="1"/>
  <c r="K13" i="1"/>
  <c r="L13" i="1"/>
  <c r="K14" i="1"/>
  <c r="L14" i="1"/>
  <c r="K15" i="1"/>
  <c r="L15" i="1"/>
  <c r="K12" i="1"/>
  <c r="L12" i="1"/>
  <c r="K22" i="1"/>
  <c r="L22" i="1"/>
  <c r="K23" i="1"/>
  <c r="L23" i="1"/>
  <c r="K24" i="1"/>
  <c r="L24" i="1"/>
  <c r="K11" i="1"/>
  <c r="L11" i="1"/>
  <c r="L10" i="1"/>
  <c r="K10" i="1"/>
  <c r="G9" i="1"/>
  <c r="G26" i="1" l="1"/>
  <c r="H9" i="1"/>
  <c r="L9" i="1"/>
  <c r="L26" i="1" s="1"/>
  <c r="N9" i="1"/>
  <c r="G30" i="1"/>
  <c r="K9" i="1"/>
  <c r="K26" i="1" s="1"/>
  <c r="H26" i="1" l="1"/>
  <c r="I9" i="1"/>
  <c r="I26" i="1" s="1"/>
  <c r="O9" i="1"/>
  <c r="Q9" i="1"/>
  <c r="P9" i="1"/>
  <c r="N10" i="1"/>
  <c r="G31" i="1"/>
  <c r="G32" i="1"/>
  <c r="O10" i="1" l="1"/>
  <c r="P10" i="1"/>
  <c r="N11" i="1"/>
  <c r="Q10" i="1"/>
  <c r="O11" i="1" l="1"/>
  <c r="N12" i="1"/>
  <c r="Q11" i="1"/>
  <c r="P11" i="1"/>
  <c r="D1" i="1"/>
  <c r="P12" i="1" l="1"/>
  <c r="O12" i="1"/>
  <c r="Q12" i="1"/>
  <c r="N13" i="1"/>
  <c r="O13" i="1" l="1"/>
  <c r="P13" i="1"/>
  <c r="Q13" i="1"/>
  <c r="N14" i="1"/>
  <c r="O14" i="1" l="1"/>
  <c r="P14" i="1"/>
  <c r="Q14" i="1"/>
  <c r="N16" i="1"/>
  <c r="P16" i="1" l="1"/>
  <c r="O16" i="1"/>
  <c r="N17" i="1"/>
  <c r="Q16" i="1"/>
  <c r="O17" i="1" l="1"/>
  <c r="P17" i="1"/>
  <c r="N20" i="1"/>
  <c r="N22" i="1" s="1"/>
  <c r="N25" i="1" s="1"/>
  <c r="Q17" i="1"/>
  <c r="P20" i="1" l="1"/>
  <c r="O20" i="1"/>
  <c r="Q20" i="1"/>
  <c r="P25" i="1" l="1"/>
  <c r="Q25" i="1"/>
  <c r="O25" i="1"/>
  <c r="O22" i="1" l="1"/>
  <c r="P22" i="1"/>
  <c r="Q22" i="1"/>
</calcChain>
</file>

<file path=xl/sharedStrings.xml><?xml version="1.0" encoding="utf-8"?>
<sst xmlns="http://schemas.openxmlformats.org/spreadsheetml/2006/main" count="277" uniqueCount="124">
  <si>
    <t>Silnice</t>
  </si>
  <si>
    <t>Místopis</t>
  </si>
  <si>
    <t>III</t>
  </si>
  <si>
    <t>Borek - Troskovice</t>
  </si>
  <si>
    <t>Silnice III/26318 od I/13 - Polevsko</t>
  </si>
  <si>
    <t>Prysk – křižovatka s III/26318</t>
  </si>
  <si>
    <t>Zásada</t>
  </si>
  <si>
    <t>Držkov - Zásada</t>
  </si>
  <si>
    <t>Staré Splavy</t>
  </si>
  <si>
    <t>Háje n. Jiz.</t>
  </si>
  <si>
    <t>0381</t>
  </si>
  <si>
    <t>Dráčov – Rváčov</t>
  </si>
  <si>
    <t>Ploužnice – Syřenov</t>
  </si>
  <si>
    <t>II</t>
  </si>
  <si>
    <t>Fojtka</t>
  </si>
  <si>
    <t>Jablonné v Podještědí</t>
  </si>
  <si>
    <t>Horní Mísečky</t>
  </si>
  <si>
    <t>Semily - Bítouchov</t>
  </si>
  <si>
    <t>Chuchelna</t>
  </si>
  <si>
    <t>Zdislava</t>
  </si>
  <si>
    <t>Pořadí žádosti</t>
  </si>
  <si>
    <t>Rekonstrukce silnice III/28116 Borek - Troskovice</t>
  </si>
  <si>
    <t>Rekonstrukce silnice III/27243 ve Zdislavi</t>
  </si>
  <si>
    <t>Rekonstrukce silnice II/286 Horní Mísečky</t>
  </si>
  <si>
    <t>Rekonstrukce silnice III/27015 v Jablonném v Podještědí</t>
  </si>
  <si>
    <t>Rekonstrukce silnice III/2907 ve Fojtce</t>
  </si>
  <si>
    <t>Rekonstrukce silnice II/292 Háje nad Jizerou</t>
  </si>
  <si>
    <t>Rekonstrukce silnice III/0381 Staré Splavy</t>
  </si>
  <si>
    <t>Název žádosti</t>
  </si>
  <si>
    <t>Příloha č. 1</t>
  </si>
  <si>
    <t>Rekonstrukce silnic III. třídy v Polevsku a Prysku</t>
  </si>
  <si>
    <t>Rekonstrukce silnic III. třídy v Zásadě</t>
  </si>
  <si>
    <t>Rekonstrukce silnic III. třídy v Rváčově a Syřenově</t>
  </si>
  <si>
    <t>Rekonstrukce silnic III. třídy v Semilech</t>
  </si>
  <si>
    <t>SP / ohláška</t>
  </si>
  <si>
    <t>Předpoklad SP / ohláška</t>
  </si>
  <si>
    <t>NE</t>
  </si>
  <si>
    <t>11/2014</t>
  </si>
  <si>
    <t>01/2015</t>
  </si>
  <si>
    <t>12/2014</t>
  </si>
  <si>
    <t>ANO část</t>
  </si>
  <si>
    <t>10/2014</t>
  </si>
  <si>
    <t>ANO</t>
  </si>
  <si>
    <t>koncept</t>
  </si>
  <si>
    <t>Josefův Důl</t>
  </si>
  <si>
    <t>Bedřichov - Hrabětice</t>
  </si>
  <si>
    <t>Hrabětice - Josefův Důl</t>
  </si>
  <si>
    <t>Loktuše - Loučky</t>
  </si>
  <si>
    <t>Ludvíkov - Hajniště</t>
  </si>
  <si>
    <t>Rekonstrukce silnice III/29015 Ludvíkov - Hajniště</t>
  </si>
  <si>
    <t>Projektant</t>
  </si>
  <si>
    <t>Sudop Praha a.s.</t>
  </si>
  <si>
    <t>Pragoprojekt</t>
  </si>
  <si>
    <t xml:space="preserve">VPÚ </t>
  </si>
  <si>
    <t>CSW Projekt CZ s.r.o.</t>
  </si>
  <si>
    <t>AF-Cityplan spol. s.r.o.</t>
  </si>
  <si>
    <t>RAL Projekt s.r.o.</t>
  </si>
  <si>
    <t>JAP Projekt s.r.o.</t>
  </si>
  <si>
    <t>Valbek spol. s.r.o.</t>
  </si>
  <si>
    <t xml:space="preserve">Pontex </t>
  </si>
  <si>
    <t xml:space="preserve">IM Projekt </t>
  </si>
  <si>
    <t>mail</t>
  </si>
  <si>
    <t>telefon</t>
  </si>
  <si>
    <t>BOCANEK@li.pragoprojekt.cz</t>
  </si>
  <si>
    <t>trusik@vpupraha.cz</t>
  </si>
  <si>
    <t>novak@pontex.cz</t>
  </si>
  <si>
    <t>tomas.castka@cswprojekt.cz</t>
  </si>
  <si>
    <t>Filip.Kucera@afconsult.com</t>
  </si>
  <si>
    <t>louthanova@ralprojekt.cz</t>
  </si>
  <si>
    <t>pivrnec@projektjap.cz</t>
  </si>
  <si>
    <t>fiser@valbek.cz</t>
  </si>
  <si>
    <t>David.Friedel@afconsult.com</t>
  </si>
  <si>
    <t>camrova@pontex.cz</t>
  </si>
  <si>
    <t>zdenek.maca@im-projekt.cz</t>
  </si>
  <si>
    <t>pavel.michl@sudophk.cz</t>
  </si>
  <si>
    <t>vaclav.marvan@sudopunl.cz</t>
  </si>
  <si>
    <t>cermak@valbek.cz</t>
  </si>
  <si>
    <t>Rekonstrukce silnice II/282 Loktuše - Loučky</t>
  </si>
  <si>
    <t>PD - elektronicky</t>
  </si>
  <si>
    <t>PD - papír</t>
  </si>
  <si>
    <t>Soupis prací</t>
  </si>
  <si>
    <t>Celkem:</t>
  </si>
  <si>
    <t>máme</t>
  </si>
  <si>
    <t>Datum aktualizace:</t>
  </si>
  <si>
    <t>TDI (Kč s DPH) 2% SN</t>
  </si>
  <si>
    <t>BOZP (Kč s DPH) 0,7% SN</t>
  </si>
  <si>
    <t xml:space="preserve">způsobilé výdaje     (Kč s DPH) </t>
  </si>
  <si>
    <t>[*1]</t>
  </si>
  <si>
    <t>[*2]</t>
  </si>
  <si>
    <t>SN (Kč s DPH)  souhrnný list</t>
  </si>
  <si>
    <t>SN+archeologové+AD+administrace+tiskoviny</t>
  </si>
  <si>
    <t>SO obcí, některé přeložky</t>
  </si>
  <si>
    <t>další nezpůsobilé výdaje     (Kč s DPH)</t>
  </si>
  <si>
    <t>[*1]…..</t>
  </si>
  <si>
    <t>[*2]…..</t>
  </si>
  <si>
    <t>Priorita</t>
  </si>
  <si>
    <t>Riziko</t>
  </si>
  <si>
    <t>Předáno na KULK
(ANO / NE)</t>
  </si>
  <si>
    <t>ANO 9.10.2014</t>
  </si>
  <si>
    <t>ANO 3.10.2014</t>
  </si>
  <si>
    <t>havarijní stav, nutná realizace. SP do podání žádosti</t>
  </si>
  <si>
    <t>havarijní stav. Připravena PD vč. Rozpočtu, SP do 12/2014</t>
  </si>
  <si>
    <t>kompet zařízeno vč. SP</t>
  </si>
  <si>
    <t>kompet zařízeno, SP do 12/2014</t>
  </si>
  <si>
    <t>čistopis vč. rozpočtu, SP do 01/2015</t>
  </si>
  <si>
    <t>koncept PD + soupis prací, SP do 12/2014</t>
  </si>
  <si>
    <t>koncept PD + soupis prací, 1x nesouhlas se záborem pozemku - hrozí zdržení SP</t>
  </si>
  <si>
    <t>52 soukromých vlastníků. V případě nesouhlasu nelze zaručit vydání SP</t>
  </si>
  <si>
    <t>koncepty PD + soupisy prací, zahájení IČ (SP předpoklad 02/2015)</t>
  </si>
  <si>
    <t>Konečná aktuální suma od projektanta</t>
  </si>
  <si>
    <t>Cena z konceptu PD</t>
  </si>
  <si>
    <t>nemáme</t>
  </si>
  <si>
    <t xml:space="preserve">máme </t>
  </si>
  <si>
    <t>Odhad ceny KSSLK</t>
  </si>
  <si>
    <t>90%
stavebních nákladů</t>
  </si>
  <si>
    <t>80%
stavebních nákladů</t>
  </si>
  <si>
    <t>70%
stavebních nákladů</t>
  </si>
  <si>
    <t>ANO 22.10.2014</t>
  </si>
  <si>
    <t>SN (Kč bez DPH)  souhrnný list</t>
  </si>
  <si>
    <t>SN/žádost (Kč bez DPH)  souhrnný list</t>
  </si>
  <si>
    <t>SN/žádost kumulovaně (Kč s DPH)</t>
  </si>
  <si>
    <t>ANO 29.10.2014</t>
  </si>
  <si>
    <t>Akce ROP pro 41. výzvu:</t>
  </si>
  <si>
    <t>Rekonstrukce silnic III. třídy v Bedřichově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</si>
</sst>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</cellStyleXfs>
  <cellXfs count="182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0" xfId="0" applyFont="1"/>
    <xf numFmtId="0" fontId="0" fillId="0" borderId="0" xfId="0" applyFont="1" applyAlignment="1">
      <alignment horizontal="center"/>
    </xf>
    <xf numFmtId="4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1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Border="1"/>
    <xf numFmtId="0" fontId="0" fillId="0" borderId="0" xfId="0" applyFont="1" applyAlignment="1">
      <alignment horizontal="center" vertical="center"/>
    </xf>
    <xf numFmtId="0" fontId="0" fillId="0" borderId="0" xfId="0" applyBorder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Border="1"/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1" applyFill="1" applyBorder="1" applyAlignment="1" applyProtection="1"/>
    <xf numFmtId="3" fontId="0" fillId="0" borderId="1" xfId="0" applyNumberFormat="1" applyFont="1" applyBorder="1"/>
    <xf numFmtId="0" fontId="3" fillId="0" borderId="1" xfId="1" applyBorder="1" applyAlignment="1" applyProtection="1">
      <alignment vertical="center"/>
    </xf>
    <xf numFmtId="3" fontId="0" fillId="0" borderId="1" xfId="0" applyNumberFormat="1" applyFont="1" applyBorder="1" applyAlignment="1">
      <alignment vertical="center" wrapText="1"/>
    </xf>
    <xf numFmtId="0" fontId="3" fillId="0" borderId="1" xfId="1" applyFill="1" applyBorder="1" applyAlignment="1" applyProtection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1" xfId="1" applyBorder="1" applyAlignment="1" applyProtection="1"/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right" vertical="center" wrapText="1" shrinkToFit="1"/>
    </xf>
    <xf numFmtId="164" fontId="10" fillId="0" borderId="1" xfId="0" applyNumberFormat="1" applyFont="1" applyFill="1" applyBorder="1"/>
    <xf numFmtId="42" fontId="11" fillId="0" borderId="1" xfId="0" applyNumberFormat="1" applyFont="1" applyFill="1" applyBorder="1" applyAlignment="1">
      <alignment horizontal="right" vertical="center"/>
    </xf>
    <xf numFmtId="42" fontId="10" fillId="0" borderId="1" xfId="0" applyNumberFormat="1" applyFont="1" applyFill="1" applyBorder="1" applyAlignment="1">
      <alignment horizontal="right" vertical="center" wrapText="1" shrinkToFit="1"/>
    </xf>
    <xf numFmtId="164" fontId="4" fillId="3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 applyProtection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12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14" fontId="1" fillId="6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164" fontId="13" fillId="0" borderId="0" xfId="0" applyNumberFormat="1" applyFont="1"/>
    <xf numFmtId="164" fontId="1" fillId="0" borderId="0" xfId="0" applyNumberFormat="1" applyFont="1"/>
    <xf numFmtId="9" fontId="0" fillId="0" borderId="0" xfId="0" applyNumberFormat="1" applyFont="1"/>
    <xf numFmtId="164" fontId="0" fillId="0" borderId="0" xfId="0" applyNumberFormat="1" applyBorder="1"/>
    <xf numFmtId="164" fontId="0" fillId="0" borderId="0" xfId="0" applyNumberFormat="1" applyFont="1" applyBorder="1" applyAlignment="1">
      <alignment horizontal="left"/>
    </xf>
    <xf numFmtId="0" fontId="0" fillId="0" borderId="0" xfId="0" applyFont="1" applyFill="1" applyBorder="1"/>
    <xf numFmtId="164" fontId="0" fillId="0" borderId="0" xfId="0" applyNumberFormat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 wrapText="1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wrapText="1" shrinkToFit="1"/>
    </xf>
    <xf numFmtId="42" fontId="10" fillId="5" borderId="1" xfId="0" applyNumberFormat="1" applyFont="1" applyFill="1" applyBorder="1" applyAlignment="1">
      <alignment horizontal="right" vertical="center" wrapText="1" shrinkToFit="1"/>
    </xf>
    <xf numFmtId="164" fontId="10" fillId="5" borderId="1" xfId="0" applyNumberFormat="1" applyFont="1" applyFill="1" applyBorder="1" applyAlignment="1">
      <alignment horizontal="right" vertical="center" wrapText="1" shrinkToFit="1"/>
    </xf>
    <xf numFmtId="0" fontId="0" fillId="5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 shrinkToFit="1"/>
    </xf>
    <xf numFmtId="164" fontId="2" fillId="0" borderId="1" xfId="0" applyNumberFormat="1" applyFont="1" applyFill="1" applyBorder="1"/>
    <xf numFmtId="164" fontId="4" fillId="0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42" fontId="0" fillId="0" borderId="0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64" fontId="10" fillId="5" borderId="4" xfId="0" applyNumberFormat="1" applyFont="1" applyFill="1" applyBorder="1" applyAlignment="1">
      <alignment horizontal="right" vertical="center" wrapText="1" shrinkToFit="1"/>
    </xf>
    <xf numFmtId="164" fontId="10" fillId="5" borderId="6" xfId="0" applyNumberFormat="1" applyFont="1" applyFill="1" applyBorder="1" applyAlignment="1">
      <alignment horizontal="right" vertical="center" wrapText="1" shrinkToFit="1"/>
    </xf>
    <xf numFmtId="164" fontId="10" fillId="0" borderId="4" xfId="0" applyNumberFormat="1" applyFont="1" applyFill="1" applyBorder="1" applyAlignment="1">
      <alignment horizontal="right" vertical="center" wrapText="1" shrinkToFit="1"/>
    </xf>
    <xf numFmtId="164" fontId="10" fillId="0" borderId="5" xfId="0" applyNumberFormat="1" applyFont="1" applyFill="1" applyBorder="1" applyAlignment="1">
      <alignment horizontal="right" vertical="center" wrapText="1" shrinkToFit="1"/>
    </xf>
    <xf numFmtId="164" fontId="10" fillId="0" borderId="6" xfId="0" applyNumberFormat="1" applyFont="1" applyFill="1" applyBorder="1" applyAlignment="1">
      <alignment horizontal="right" vertical="center" wrapText="1" shrinkToFit="1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 wrapText="1" shrinkToFit="1"/>
    </xf>
    <xf numFmtId="164" fontId="11" fillId="0" borderId="4" xfId="0" applyNumberFormat="1" applyFont="1" applyFill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164" fontId="10" fillId="0" borderId="4" xfId="0" applyNumberFormat="1" applyFont="1" applyFill="1" applyBorder="1" applyAlignment="1">
      <alignment horizontal="right" vertical="center"/>
    </xf>
    <xf numFmtId="164" fontId="10" fillId="0" borderId="6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wrapText="1" shrinkToFit="1"/>
    </xf>
    <xf numFmtId="0" fontId="0" fillId="0" borderId="5" xfId="0" applyFont="1" applyBorder="1" applyAlignment="1">
      <alignment horizontal="left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164" fontId="10" fillId="0" borderId="4" xfId="0" applyNumberFormat="1" applyFont="1" applyFill="1" applyBorder="1" applyAlignment="1">
      <alignment horizontal="center" vertical="center" wrapText="1" shrinkToFit="1"/>
    </xf>
    <xf numFmtId="164" fontId="10" fillId="0" borderId="6" xfId="0" applyNumberFormat="1" applyFont="1" applyFill="1" applyBorder="1" applyAlignment="1">
      <alignment horizontal="center" vertical="center" wrapText="1" shrinkToFit="1"/>
    </xf>
    <xf numFmtId="164" fontId="10" fillId="0" borderId="5" xfId="0" applyNumberFormat="1" applyFont="1" applyFill="1" applyBorder="1" applyAlignment="1">
      <alignment horizontal="center" vertical="center" wrapText="1" shrinkToFit="1"/>
    </xf>
    <xf numFmtId="42" fontId="11" fillId="0" borderId="4" xfId="0" applyNumberFormat="1" applyFont="1" applyFill="1" applyBorder="1" applyAlignment="1">
      <alignment horizontal="center" vertical="center"/>
    </xf>
    <xf numFmtId="42" fontId="11" fillId="0" borderId="5" xfId="0" applyNumberFormat="1" applyFont="1" applyFill="1" applyBorder="1" applyAlignment="1">
      <alignment horizontal="center" vertical="center"/>
    </xf>
    <xf numFmtId="42" fontId="11" fillId="0" borderId="6" xfId="0" applyNumberFormat="1" applyFont="1" applyFill="1" applyBorder="1" applyAlignment="1">
      <alignment horizontal="center" vertical="center"/>
    </xf>
    <xf numFmtId="42" fontId="11" fillId="0" borderId="4" xfId="0" applyNumberFormat="1" applyFont="1" applyFill="1" applyBorder="1" applyAlignment="1">
      <alignment horizontal="right" vertical="center"/>
    </xf>
    <xf numFmtId="0" fontId="1" fillId="6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 shrinkToFit="1"/>
    </xf>
    <xf numFmtId="0" fontId="0" fillId="0" borderId="6" xfId="0" applyFont="1" applyBorder="1" applyAlignment="1">
      <alignment horizontal="left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wrapText="1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 shrinkToFit="1"/>
    </xf>
    <xf numFmtId="164" fontId="4" fillId="3" borderId="4" xfId="0" applyNumberFormat="1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0" fillId="0" borderId="6" xfId="0" applyNumberFormat="1" applyFill="1" applyBorder="1" applyAlignment="1">
      <alignment horizontal="right" vertical="center" wrapText="1" shrinkToFit="1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</cellXfs>
  <cellStyles count="4"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lip.Kucera@afconsult.com" TargetMode="External"/><Relationship Id="rId13" Type="http://schemas.openxmlformats.org/officeDocument/2006/relationships/hyperlink" Target="mailto:fiser@valbek.cz" TargetMode="External"/><Relationship Id="rId18" Type="http://schemas.openxmlformats.org/officeDocument/2006/relationships/hyperlink" Target="mailto:pavel.michl@sudophk.cz" TargetMode="External"/><Relationship Id="rId3" Type="http://schemas.openxmlformats.org/officeDocument/2006/relationships/hyperlink" Target="mailto:trusik@vpupraha.cz" TargetMode="External"/><Relationship Id="rId21" Type="http://schemas.openxmlformats.org/officeDocument/2006/relationships/hyperlink" Target="mailto:cermak@valbek.cz" TargetMode="External"/><Relationship Id="rId7" Type="http://schemas.openxmlformats.org/officeDocument/2006/relationships/hyperlink" Target="mailto:tomas.castka@cswprojekt.cz" TargetMode="External"/><Relationship Id="rId12" Type="http://schemas.openxmlformats.org/officeDocument/2006/relationships/hyperlink" Target="mailto:pivrnec@projektjap.cz" TargetMode="External"/><Relationship Id="rId17" Type="http://schemas.openxmlformats.org/officeDocument/2006/relationships/hyperlink" Target="mailto:zdenek.maca@im-projekt.cz" TargetMode="External"/><Relationship Id="rId2" Type="http://schemas.openxmlformats.org/officeDocument/2006/relationships/hyperlink" Target="mailto:BOCANEK@li.pragoprojekt.cz" TargetMode="External"/><Relationship Id="rId16" Type="http://schemas.openxmlformats.org/officeDocument/2006/relationships/hyperlink" Target="mailto:camrova@pontex.cz" TargetMode="External"/><Relationship Id="rId20" Type="http://schemas.openxmlformats.org/officeDocument/2006/relationships/hyperlink" Target="mailto:cermak@valbek.cz" TargetMode="External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6\II-286-KARTA%2041\II-286-41-FOTO%20Misecky" TargetMode="External"/><Relationship Id="rId6" Type="http://schemas.openxmlformats.org/officeDocument/2006/relationships/hyperlink" Target="mailto:tomas.castka@cswprojekt.cz" TargetMode="External"/><Relationship Id="rId11" Type="http://schemas.openxmlformats.org/officeDocument/2006/relationships/hyperlink" Target="mailto:pivrnec@projektjap.cz" TargetMode="External"/><Relationship Id="rId5" Type="http://schemas.openxmlformats.org/officeDocument/2006/relationships/hyperlink" Target="mailto:tomas.castka@cswprojekt.cz" TargetMode="External"/><Relationship Id="rId15" Type="http://schemas.openxmlformats.org/officeDocument/2006/relationships/hyperlink" Target="mailto:camrova@pontex.cz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pivrnec@projektjap.cz" TargetMode="External"/><Relationship Id="rId19" Type="http://schemas.openxmlformats.org/officeDocument/2006/relationships/hyperlink" Target="mailto:vaclav.marvan@sudopunl.cz" TargetMode="External"/><Relationship Id="rId4" Type="http://schemas.openxmlformats.org/officeDocument/2006/relationships/hyperlink" Target="mailto:novak@pontex.cz" TargetMode="External"/><Relationship Id="rId9" Type="http://schemas.openxmlformats.org/officeDocument/2006/relationships/hyperlink" Target="mailto:louthanova@ralprojekt.cz" TargetMode="External"/><Relationship Id="rId14" Type="http://schemas.openxmlformats.org/officeDocument/2006/relationships/hyperlink" Target="mailto:David.Friedel@afconsult.com" TargetMode="External"/><Relationship Id="rId22" Type="http://schemas.openxmlformats.org/officeDocument/2006/relationships/hyperlink" Target="mailto:cermak@valbe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view="pageBreakPreview" zoomScale="80" zoomScaleNormal="70" zoomScaleSheetLayoutView="80" workbookViewId="0">
      <pane xSplit="4" ySplit="4" topLeftCell="N5" activePane="bottomRight" state="frozen"/>
      <selection pane="topRight" activeCell="E1" sqref="E1"/>
      <selection pane="bottomLeft" activeCell="A5" sqref="A5"/>
      <selection pane="bottomRight" activeCell="R22" sqref="R22:R24"/>
    </sheetView>
  </sheetViews>
  <sheetFormatPr defaultRowHeight="15" x14ac:dyDescent="0.25"/>
  <cols>
    <col min="1" max="1" width="11.5703125" style="17" customWidth="1"/>
    <col min="2" max="2" width="3.42578125" style="3" bestFit="1" customWidth="1"/>
    <col min="3" max="3" width="9.85546875" style="9" bestFit="1" customWidth="1"/>
    <col min="4" max="4" width="35.28515625" style="2" customWidth="1"/>
    <col min="5" max="5" width="7.7109375" style="2" bestFit="1" customWidth="1"/>
    <col min="6" max="6" width="57" style="2" customWidth="1"/>
    <col min="7" max="7" width="14.7109375" style="2" customWidth="1"/>
    <col min="8" max="8" width="16.7109375" style="2" customWidth="1"/>
    <col min="9" max="9" width="18.85546875" style="21" customWidth="1"/>
    <col min="10" max="10" width="16.7109375" style="2" customWidth="1"/>
    <col min="11" max="11" width="15.28515625" style="15" customWidth="1"/>
    <col min="12" max="12" width="16.85546875" style="2" customWidth="1"/>
    <col min="13" max="13" width="23.28515625" style="2" customWidth="1"/>
    <col min="14" max="14" width="14.7109375" style="15" customWidth="1"/>
    <col min="15" max="15" width="15.140625" style="15" customWidth="1"/>
    <col min="16" max="16" width="14.5703125" style="15" customWidth="1"/>
    <col min="17" max="17" width="15.7109375" style="15" customWidth="1"/>
    <col min="18" max="18" width="53.42578125" style="15" customWidth="1"/>
    <col min="19" max="19" width="21" style="3" customWidth="1"/>
    <col min="20" max="20" width="20.5703125" style="2" customWidth="1"/>
    <col min="21" max="21" width="20" style="2" customWidth="1"/>
    <col min="22" max="22" width="20.85546875" style="2" customWidth="1"/>
    <col min="23" max="23" width="15.85546875" style="2" customWidth="1"/>
    <col min="24" max="24" width="16.85546875" style="2" customWidth="1"/>
    <col min="25" max="25" width="23.85546875" style="2" customWidth="1"/>
    <col min="26" max="26" width="29.85546875" style="2" customWidth="1"/>
    <col min="27" max="27" width="13.7109375" style="2" customWidth="1"/>
    <col min="28" max="28" width="15.140625" style="2" bestFit="1" customWidth="1"/>
    <col min="29" max="16384" width="9.140625" style="2"/>
  </cols>
  <sheetData>
    <row r="1" spans="1:28" x14ac:dyDescent="0.25">
      <c r="A1" s="156" t="s">
        <v>83</v>
      </c>
      <c r="B1" s="156"/>
      <c r="C1" s="156"/>
      <c r="D1" s="77">
        <f ca="1">TODAY()</f>
        <v>41948</v>
      </c>
      <c r="E1" s="77"/>
      <c r="F1" s="77"/>
      <c r="G1" s="4"/>
      <c r="H1" s="4"/>
      <c r="I1" s="116"/>
      <c r="J1" s="15"/>
      <c r="K1" s="4"/>
      <c r="L1" s="4"/>
      <c r="M1" s="15"/>
      <c r="R1" s="21" t="s">
        <v>29</v>
      </c>
      <c r="T1" s="21"/>
    </row>
    <row r="2" spans="1:28" ht="21" x14ac:dyDescent="0.35">
      <c r="A2" s="31" t="s">
        <v>122</v>
      </c>
      <c r="B2" s="5"/>
      <c r="C2" s="10"/>
      <c r="D2" s="18"/>
      <c r="E2" s="18"/>
      <c r="F2" s="18"/>
      <c r="G2" s="4"/>
      <c r="H2" s="4"/>
      <c r="I2" s="116"/>
      <c r="J2" s="16"/>
      <c r="K2" s="4"/>
      <c r="L2" s="4"/>
      <c r="M2" s="16"/>
      <c r="N2" s="16"/>
      <c r="O2" s="16"/>
      <c r="P2" s="16"/>
      <c r="Q2" s="16"/>
      <c r="R2" s="2"/>
    </row>
    <row r="3" spans="1:28" ht="21" x14ac:dyDescent="0.35">
      <c r="A3" s="31"/>
      <c r="B3" s="5"/>
      <c r="C3" s="10"/>
      <c r="D3" s="18"/>
      <c r="E3" s="18"/>
      <c r="F3" s="18"/>
      <c r="G3" s="4"/>
      <c r="H3" s="4"/>
      <c r="I3" s="116"/>
      <c r="J3" s="85" t="s">
        <v>87</v>
      </c>
      <c r="K3" s="4"/>
      <c r="L3" s="4"/>
      <c r="M3" s="84" t="s">
        <v>88</v>
      </c>
      <c r="N3" s="16"/>
      <c r="O3" s="16"/>
      <c r="P3" s="16"/>
      <c r="Q3" s="16"/>
      <c r="R3" s="2"/>
    </row>
    <row r="4" spans="1:28" s="23" customFormat="1" ht="55.5" customHeight="1" x14ac:dyDescent="0.25">
      <c r="A4" s="6" t="s">
        <v>20</v>
      </c>
      <c r="B4" s="139" t="s">
        <v>0</v>
      </c>
      <c r="C4" s="140"/>
      <c r="D4" s="6" t="s">
        <v>1</v>
      </c>
      <c r="E4" s="6" t="s">
        <v>95</v>
      </c>
      <c r="F4" s="6" t="s">
        <v>96</v>
      </c>
      <c r="G4" s="22" t="s">
        <v>89</v>
      </c>
      <c r="H4" s="22" t="s">
        <v>118</v>
      </c>
      <c r="I4" s="22" t="s">
        <v>119</v>
      </c>
      <c r="J4" s="22" t="s">
        <v>86</v>
      </c>
      <c r="K4" s="22" t="s">
        <v>84</v>
      </c>
      <c r="L4" s="22" t="s">
        <v>85</v>
      </c>
      <c r="M4" s="22" t="s">
        <v>92</v>
      </c>
      <c r="N4" s="22" t="s">
        <v>120</v>
      </c>
      <c r="O4" s="111" t="s">
        <v>114</v>
      </c>
      <c r="P4" s="111" t="s">
        <v>115</v>
      </c>
      <c r="Q4" s="111" t="s">
        <v>116</v>
      </c>
      <c r="R4" s="22" t="s">
        <v>28</v>
      </c>
      <c r="S4" s="22" t="s">
        <v>79</v>
      </c>
      <c r="T4" s="22" t="s">
        <v>78</v>
      </c>
      <c r="U4" s="22" t="s">
        <v>34</v>
      </c>
      <c r="V4" s="22" t="s">
        <v>80</v>
      </c>
      <c r="W4" s="22" t="s">
        <v>97</v>
      </c>
      <c r="X4" s="22" t="s">
        <v>35</v>
      </c>
      <c r="Y4" s="22" t="s">
        <v>50</v>
      </c>
      <c r="Z4" s="22" t="s">
        <v>61</v>
      </c>
      <c r="AA4" s="22" t="s">
        <v>62</v>
      </c>
    </row>
    <row r="5" spans="1:28" s="8" customFormat="1" ht="18.75" x14ac:dyDescent="0.25">
      <c r="A5" s="43">
        <v>5</v>
      </c>
      <c r="B5" s="26" t="s">
        <v>2</v>
      </c>
      <c r="C5" s="66" t="s">
        <v>10</v>
      </c>
      <c r="D5" s="65" t="s">
        <v>8</v>
      </c>
      <c r="E5" s="96">
        <v>1</v>
      </c>
      <c r="F5" s="101" t="s">
        <v>102</v>
      </c>
      <c r="G5" s="57">
        <v>24342719.923499998</v>
      </c>
      <c r="H5" s="57">
        <f>G5/1.21</f>
        <v>20117950.349999998</v>
      </c>
      <c r="I5" s="57">
        <f>H5</f>
        <v>20117950.349999998</v>
      </c>
      <c r="J5" s="93"/>
      <c r="K5" s="93">
        <f t="shared" ref="K5:K25" si="0">0.02*G5</f>
        <v>486854.39846999996</v>
      </c>
      <c r="L5" s="93">
        <f t="shared" ref="L5:L25" si="1">0.007*G5</f>
        <v>170399.03946449998</v>
      </c>
      <c r="M5" s="93"/>
      <c r="N5" s="93">
        <f>G5</f>
        <v>24342719.923499998</v>
      </c>
      <c r="O5" s="93">
        <f>N5*90%</f>
        <v>21908447.931149997</v>
      </c>
      <c r="P5" s="93">
        <f>$N$5*80%</f>
        <v>19474175.9388</v>
      </c>
      <c r="Q5" s="93">
        <f>$N5*70%</f>
        <v>17039903.946449999</v>
      </c>
      <c r="R5" s="79" t="s">
        <v>27</v>
      </c>
      <c r="S5" s="48" t="s">
        <v>42</v>
      </c>
      <c r="T5" s="48" t="s">
        <v>42</v>
      </c>
      <c r="U5" s="52" t="s">
        <v>40</v>
      </c>
      <c r="V5" s="48" t="s">
        <v>42</v>
      </c>
      <c r="W5" s="48" t="s">
        <v>99</v>
      </c>
      <c r="X5" s="76" t="s">
        <v>82</v>
      </c>
      <c r="Y5" s="19" t="s">
        <v>55</v>
      </c>
      <c r="Z5" s="36" t="s">
        <v>67</v>
      </c>
      <c r="AA5" s="40">
        <v>778433887</v>
      </c>
    </row>
    <row r="6" spans="1:28" s="8" customFormat="1" x14ac:dyDescent="0.25">
      <c r="A6" s="166">
        <v>8</v>
      </c>
      <c r="B6" s="58" t="s">
        <v>2</v>
      </c>
      <c r="C6" s="30">
        <v>2843</v>
      </c>
      <c r="D6" s="59" t="s">
        <v>11</v>
      </c>
      <c r="E6" s="172">
        <v>2</v>
      </c>
      <c r="F6" s="173" t="s">
        <v>102</v>
      </c>
      <c r="G6" s="91">
        <v>27201334.698999997</v>
      </c>
      <c r="H6" s="91">
        <f t="shared" ref="H6:H25" si="2">G6/1.21</f>
        <v>22480441.899999999</v>
      </c>
      <c r="I6" s="174">
        <f>H6+H7</f>
        <v>39121595.5</v>
      </c>
      <c r="J6" s="142"/>
      <c r="K6" s="93">
        <f t="shared" si="0"/>
        <v>544026.69397999998</v>
      </c>
      <c r="L6" s="93">
        <f t="shared" si="1"/>
        <v>190409.34289299999</v>
      </c>
      <c r="M6" s="144"/>
      <c r="N6" s="180">
        <f>G7+G6+N5</f>
        <v>71679850.478499994</v>
      </c>
      <c r="O6" s="142">
        <f>$N$6*90%</f>
        <v>64511865.430649996</v>
      </c>
      <c r="P6" s="142">
        <f>$N6*80%</f>
        <v>57343880.382799998</v>
      </c>
      <c r="Q6" s="142">
        <f t="shared" ref="Q6:Q7" si="3">$N6*70%</f>
        <v>50175895.334949993</v>
      </c>
      <c r="R6" s="141" t="s">
        <v>32</v>
      </c>
      <c r="S6" s="48" t="s">
        <v>42</v>
      </c>
      <c r="T6" s="49" t="s">
        <v>42</v>
      </c>
      <c r="U6" s="47" t="s">
        <v>36</v>
      </c>
      <c r="V6" s="51" t="s">
        <v>42</v>
      </c>
      <c r="W6" s="134" t="s">
        <v>98</v>
      </c>
      <c r="X6" s="24" t="s">
        <v>41</v>
      </c>
      <c r="Y6" s="19" t="s">
        <v>57</v>
      </c>
      <c r="Z6" s="36" t="s">
        <v>69</v>
      </c>
      <c r="AA6" s="40">
        <v>777873347</v>
      </c>
    </row>
    <row r="7" spans="1:28" s="8" customFormat="1" x14ac:dyDescent="0.25">
      <c r="A7" s="167"/>
      <c r="B7" s="26" t="s">
        <v>2</v>
      </c>
      <c r="C7" s="29">
        <v>28611</v>
      </c>
      <c r="D7" s="59" t="s">
        <v>12</v>
      </c>
      <c r="E7" s="158"/>
      <c r="F7" s="160"/>
      <c r="G7" s="91">
        <v>20135795.855999999</v>
      </c>
      <c r="H7" s="91">
        <f t="shared" si="2"/>
        <v>16641153.6</v>
      </c>
      <c r="I7" s="175"/>
      <c r="J7" s="143"/>
      <c r="K7" s="93">
        <f t="shared" si="0"/>
        <v>402715.91712</v>
      </c>
      <c r="L7" s="93">
        <f t="shared" si="1"/>
        <v>140950.57099199999</v>
      </c>
      <c r="M7" s="145"/>
      <c r="N7" s="181"/>
      <c r="O7" s="143">
        <f t="shared" ref="O7:O25" si="4">N7*90%</f>
        <v>0</v>
      </c>
      <c r="P7" s="143"/>
      <c r="Q7" s="143">
        <f t="shared" si="3"/>
        <v>0</v>
      </c>
      <c r="R7" s="141"/>
      <c r="S7" s="49" t="s">
        <v>42</v>
      </c>
      <c r="T7" s="49" t="s">
        <v>42</v>
      </c>
      <c r="U7" s="51" t="s">
        <v>42</v>
      </c>
      <c r="V7" s="48" t="s">
        <v>42</v>
      </c>
      <c r="W7" s="135"/>
      <c r="X7" s="76" t="s">
        <v>82</v>
      </c>
      <c r="Y7" s="19" t="s">
        <v>57</v>
      </c>
      <c r="Z7" s="36" t="s">
        <v>69</v>
      </c>
      <c r="AA7" s="40">
        <v>777873347</v>
      </c>
    </row>
    <row r="8" spans="1:28" s="8" customFormat="1" ht="18.75" x14ac:dyDescent="0.25">
      <c r="A8" s="46">
        <v>7</v>
      </c>
      <c r="B8" s="67" t="s">
        <v>2</v>
      </c>
      <c r="C8" s="29">
        <v>2907</v>
      </c>
      <c r="D8" s="65" t="s">
        <v>14</v>
      </c>
      <c r="E8" s="96">
        <v>3</v>
      </c>
      <c r="F8" s="101" t="s">
        <v>102</v>
      </c>
      <c r="G8" s="57">
        <v>7342198.5700000003</v>
      </c>
      <c r="H8" s="57">
        <f t="shared" si="2"/>
        <v>6067932.7024793392</v>
      </c>
      <c r="I8" s="57">
        <f t="shared" ref="I8:I13" si="5">H8</f>
        <v>6067932.7024793392</v>
      </c>
      <c r="J8" s="93"/>
      <c r="K8" s="93">
        <f t="shared" si="0"/>
        <v>146843.97140000001</v>
      </c>
      <c r="L8" s="93">
        <f t="shared" si="1"/>
        <v>51395.389990000003</v>
      </c>
      <c r="M8" s="93"/>
      <c r="N8" s="93">
        <f>G8+N6</f>
        <v>79022049.048500001</v>
      </c>
      <c r="O8" s="93">
        <f>$N$8*90%</f>
        <v>71119844.14365001</v>
      </c>
      <c r="P8" s="93">
        <f>$N8*80%</f>
        <v>63217639.238800004</v>
      </c>
      <c r="Q8" s="93">
        <f t="shared" ref="Q8:Q13" si="6">$N8*70%</f>
        <v>55315434.333949998</v>
      </c>
      <c r="R8" s="79" t="s">
        <v>25</v>
      </c>
      <c r="S8" s="49" t="s">
        <v>42</v>
      </c>
      <c r="T8" s="49" t="s">
        <v>42</v>
      </c>
      <c r="U8" s="51" t="s">
        <v>42</v>
      </c>
      <c r="V8" s="48" t="s">
        <v>42</v>
      </c>
      <c r="W8" s="48" t="s">
        <v>99</v>
      </c>
      <c r="X8" s="76" t="s">
        <v>82</v>
      </c>
      <c r="Y8" s="19" t="s">
        <v>57</v>
      </c>
      <c r="Z8" s="36" t="s">
        <v>69</v>
      </c>
      <c r="AA8" s="40">
        <v>777873347</v>
      </c>
    </row>
    <row r="9" spans="1:28" s="8" customFormat="1" ht="16.5" customHeight="1" x14ac:dyDescent="0.25">
      <c r="A9" s="45">
        <v>6</v>
      </c>
      <c r="B9" s="67" t="s">
        <v>13</v>
      </c>
      <c r="C9" s="29">
        <v>292</v>
      </c>
      <c r="D9" s="65" t="s">
        <v>9</v>
      </c>
      <c r="E9" s="96">
        <v>4</v>
      </c>
      <c r="F9" s="101" t="s">
        <v>100</v>
      </c>
      <c r="G9" s="57">
        <f>28123343.45</f>
        <v>28123343.449999999</v>
      </c>
      <c r="H9" s="57">
        <f t="shared" si="2"/>
        <v>23242432.603305787</v>
      </c>
      <c r="I9" s="57">
        <f t="shared" si="5"/>
        <v>23242432.603305787</v>
      </c>
      <c r="J9" s="93"/>
      <c r="K9" s="93">
        <f t="shared" si="0"/>
        <v>562466.86899999995</v>
      </c>
      <c r="L9" s="93">
        <f t="shared" si="1"/>
        <v>196863.40414999999</v>
      </c>
      <c r="M9" s="93"/>
      <c r="N9" s="93">
        <f>G9+N8</f>
        <v>107145392.4985</v>
      </c>
      <c r="O9" s="93">
        <f>$N$9*90%</f>
        <v>96430853.248649999</v>
      </c>
      <c r="P9" s="93">
        <f>$N9*80%</f>
        <v>85716313.998800009</v>
      </c>
      <c r="Q9" s="93">
        <f t="shared" si="6"/>
        <v>75001774.748950005</v>
      </c>
      <c r="R9" s="79" t="s">
        <v>26</v>
      </c>
      <c r="S9" s="48" t="s">
        <v>42</v>
      </c>
      <c r="T9" s="48" t="s">
        <v>42</v>
      </c>
      <c r="U9" s="52" t="s">
        <v>40</v>
      </c>
      <c r="V9" s="51" t="s">
        <v>42</v>
      </c>
      <c r="W9" s="51" t="s">
        <v>98</v>
      </c>
      <c r="X9" s="24" t="s">
        <v>41</v>
      </c>
      <c r="Y9" s="19" t="s">
        <v>56</v>
      </c>
      <c r="Z9" s="36" t="s">
        <v>68</v>
      </c>
      <c r="AA9" s="40">
        <v>734158363</v>
      </c>
    </row>
    <row r="10" spans="1:28" s="8" customFormat="1" ht="15" customHeight="1" x14ac:dyDescent="0.25">
      <c r="A10" s="43">
        <v>1</v>
      </c>
      <c r="B10" s="1" t="s">
        <v>2</v>
      </c>
      <c r="C10" s="11">
        <v>29015</v>
      </c>
      <c r="D10" s="7" t="s">
        <v>48</v>
      </c>
      <c r="E10" s="94">
        <v>5</v>
      </c>
      <c r="F10" s="101" t="s">
        <v>101</v>
      </c>
      <c r="G10" s="57">
        <v>28988912.348000005</v>
      </c>
      <c r="H10" s="57">
        <f t="shared" si="2"/>
        <v>23957778.800000004</v>
      </c>
      <c r="I10" s="57">
        <f t="shared" si="5"/>
        <v>23957778.800000004</v>
      </c>
      <c r="J10" s="53"/>
      <c r="K10" s="93">
        <f t="shared" si="0"/>
        <v>579778.24696000014</v>
      </c>
      <c r="L10" s="93">
        <f t="shared" si="1"/>
        <v>202922.38643600003</v>
      </c>
      <c r="M10" s="53"/>
      <c r="N10" s="112">
        <f>G10+N9</f>
        <v>136134304.84650001</v>
      </c>
      <c r="O10" s="93">
        <f t="shared" si="4"/>
        <v>122520874.36185001</v>
      </c>
      <c r="P10" s="93">
        <f>$N10*80%</f>
        <v>108907443.87720001</v>
      </c>
      <c r="Q10" s="93">
        <f t="shared" si="6"/>
        <v>95294013.392550007</v>
      </c>
      <c r="R10" s="78" t="s">
        <v>49</v>
      </c>
      <c r="S10" s="48" t="s">
        <v>42</v>
      </c>
      <c r="T10" s="48" t="s">
        <v>42</v>
      </c>
      <c r="U10" s="47" t="s">
        <v>36</v>
      </c>
      <c r="V10" s="51" t="s">
        <v>42</v>
      </c>
      <c r="W10" s="48" t="s">
        <v>117</v>
      </c>
      <c r="X10" s="24" t="s">
        <v>39</v>
      </c>
      <c r="Y10" s="19" t="s">
        <v>51</v>
      </c>
      <c r="Z10" s="36" t="s">
        <v>74</v>
      </c>
      <c r="AA10" s="37">
        <v>739329033</v>
      </c>
    </row>
    <row r="11" spans="1:28" ht="18.75" x14ac:dyDescent="0.3">
      <c r="A11" s="43">
        <v>16</v>
      </c>
      <c r="B11" s="72" t="s">
        <v>13</v>
      </c>
      <c r="C11" s="73">
        <v>282</v>
      </c>
      <c r="D11" s="74" t="s">
        <v>47</v>
      </c>
      <c r="E11" s="100">
        <v>6</v>
      </c>
      <c r="F11" s="101" t="s">
        <v>101</v>
      </c>
      <c r="G11" s="92">
        <v>27781513.242999993</v>
      </c>
      <c r="H11" s="92">
        <f t="shared" si="2"/>
        <v>22959928.299999993</v>
      </c>
      <c r="I11" s="117">
        <f t="shared" si="5"/>
        <v>22959928.299999993</v>
      </c>
      <c r="J11" s="54"/>
      <c r="K11" s="93">
        <f t="shared" si="0"/>
        <v>555630.26485999988</v>
      </c>
      <c r="L11" s="93">
        <f t="shared" si="1"/>
        <v>194470.59270099996</v>
      </c>
      <c r="M11" s="54"/>
      <c r="N11" s="113">
        <f>G11+N10</f>
        <v>163915818.08950001</v>
      </c>
      <c r="O11" s="114">
        <f t="shared" si="4"/>
        <v>147524236.28055</v>
      </c>
      <c r="P11" s="114">
        <f>$N11*80%</f>
        <v>131132654.47160001</v>
      </c>
      <c r="Q11" s="114">
        <f t="shared" si="6"/>
        <v>114741072.66265</v>
      </c>
      <c r="R11" s="79" t="s">
        <v>77</v>
      </c>
      <c r="S11" s="115" t="s">
        <v>42</v>
      </c>
      <c r="T11" s="49" t="s">
        <v>42</v>
      </c>
      <c r="U11" s="47" t="s">
        <v>36</v>
      </c>
      <c r="V11" s="49" t="s">
        <v>42</v>
      </c>
      <c r="W11" s="49" t="s">
        <v>117</v>
      </c>
      <c r="X11" s="24" t="s">
        <v>39</v>
      </c>
      <c r="Y11" s="27" t="s">
        <v>51</v>
      </c>
      <c r="Z11" s="34" t="s">
        <v>75</v>
      </c>
      <c r="AA11" s="35">
        <v>605229066</v>
      </c>
      <c r="AB11" s="8"/>
    </row>
    <row r="12" spans="1:28" ht="18.75" x14ac:dyDescent="0.25">
      <c r="A12" s="43">
        <v>13</v>
      </c>
      <c r="B12" s="60" t="s">
        <v>2</v>
      </c>
      <c r="C12" s="61">
        <v>27243</v>
      </c>
      <c r="D12" s="62" t="s">
        <v>19</v>
      </c>
      <c r="E12" s="99">
        <v>7</v>
      </c>
      <c r="F12" s="101" t="s">
        <v>103</v>
      </c>
      <c r="G12" s="57">
        <v>32803946.056199998</v>
      </c>
      <c r="H12" s="57">
        <f t="shared" si="2"/>
        <v>27110699.219999999</v>
      </c>
      <c r="I12" s="57">
        <f t="shared" si="5"/>
        <v>27110699.219999999</v>
      </c>
      <c r="J12" s="93"/>
      <c r="K12" s="93">
        <f t="shared" si="0"/>
        <v>656078.92112399999</v>
      </c>
      <c r="L12" s="93">
        <f t="shared" si="1"/>
        <v>229627.6223934</v>
      </c>
      <c r="M12" s="93"/>
      <c r="N12" s="93">
        <f>G12+N11</f>
        <v>196719764.14570001</v>
      </c>
      <c r="O12" s="93">
        <f t="shared" si="4"/>
        <v>177047787.73113</v>
      </c>
      <c r="P12" s="93">
        <f t="shared" ref="P12:P15" si="7">$N12*80%</f>
        <v>157375811.31656</v>
      </c>
      <c r="Q12" s="93">
        <f t="shared" si="6"/>
        <v>137703834.90199</v>
      </c>
      <c r="R12" s="80" t="s">
        <v>22</v>
      </c>
      <c r="S12" s="49" t="s">
        <v>42</v>
      </c>
      <c r="T12" s="48" t="s">
        <v>42</v>
      </c>
      <c r="U12" s="47" t="s">
        <v>36</v>
      </c>
      <c r="V12" s="51" t="s">
        <v>42</v>
      </c>
      <c r="W12" s="51" t="s">
        <v>98</v>
      </c>
      <c r="X12" s="24" t="s">
        <v>37</v>
      </c>
      <c r="Y12" s="19" t="s">
        <v>60</v>
      </c>
      <c r="Z12" s="42" t="s">
        <v>73</v>
      </c>
      <c r="AA12" s="35">
        <v>773560401</v>
      </c>
      <c r="AB12" s="8"/>
    </row>
    <row r="13" spans="1:28" ht="18.75" x14ac:dyDescent="0.25">
      <c r="A13" s="43">
        <v>11</v>
      </c>
      <c r="B13" s="60" t="s">
        <v>13</v>
      </c>
      <c r="C13" s="61">
        <v>286</v>
      </c>
      <c r="D13" s="68" t="s">
        <v>16</v>
      </c>
      <c r="E13" s="98">
        <v>8</v>
      </c>
      <c r="F13" s="101" t="s">
        <v>103</v>
      </c>
      <c r="G13" s="104">
        <v>46000000</v>
      </c>
      <c r="H13" s="104">
        <f t="shared" si="2"/>
        <v>38016528.925619833</v>
      </c>
      <c r="I13" s="104">
        <f t="shared" si="5"/>
        <v>38016528.925619833</v>
      </c>
      <c r="J13" s="53"/>
      <c r="K13" s="53">
        <f t="shared" si="0"/>
        <v>920000</v>
      </c>
      <c r="L13" s="53">
        <f t="shared" si="1"/>
        <v>322000</v>
      </c>
      <c r="M13" s="53"/>
      <c r="N13" s="53">
        <f>G13+N12</f>
        <v>242719764.14570001</v>
      </c>
      <c r="O13" s="53">
        <f t="shared" si="4"/>
        <v>218447787.73113</v>
      </c>
      <c r="P13" s="53">
        <f t="shared" si="7"/>
        <v>194175811.31656003</v>
      </c>
      <c r="Q13" s="53">
        <f t="shared" si="6"/>
        <v>169903834.90199</v>
      </c>
      <c r="R13" s="80" t="s">
        <v>23</v>
      </c>
      <c r="S13" s="89" t="s">
        <v>43</v>
      </c>
      <c r="T13" s="50" t="s">
        <v>36</v>
      </c>
      <c r="U13" s="47" t="s">
        <v>36</v>
      </c>
      <c r="V13" s="47" t="s">
        <v>36</v>
      </c>
      <c r="W13" s="47" t="s">
        <v>36</v>
      </c>
      <c r="X13" s="24" t="s">
        <v>37</v>
      </c>
      <c r="Y13" s="19" t="s">
        <v>55</v>
      </c>
      <c r="Z13" s="42" t="s">
        <v>71</v>
      </c>
      <c r="AA13" s="35">
        <v>277005521</v>
      </c>
      <c r="AB13" s="8"/>
    </row>
    <row r="14" spans="1:28" x14ac:dyDescent="0.25">
      <c r="A14" s="167">
        <v>12</v>
      </c>
      <c r="B14" s="60" t="s">
        <v>2</v>
      </c>
      <c r="C14" s="61">
        <v>2892</v>
      </c>
      <c r="D14" s="62" t="s">
        <v>17</v>
      </c>
      <c r="E14" s="157">
        <v>9</v>
      </c>
      <c r="F14" s="159" t="s">
        <v>108</v>
      </c>
      <c r="G14" s="104">
        <v>25503312.211300001</v>
      </c>
      <c r="H14" s="104">
        <f t="shared" si="2"/>
        <v>21077117.530000001</v>
      </c>
      <c r="I14" s="120">
        <f>H15+H14</f>
        <v>38019266.290330581</v>
      </c>
      <c r="J14" s="122"/>
      <c r="K14" s="53">
        <f t="shared" si="0"/>
        <v>510066.24422600004</v>
      </c>
      <c r="L14" s="53">
        <f t="shared" si="1"/>
        <v>178523.18547910001</v>
      </c>
      <c r="M14" s="122"/>
      <c r="N14" s="122">
        <f>G15+G14+N13</f>
        <v>288723076.35699999</v>
      </c>
      <c r="O14" s="122">
        <f t="shared" si="4"/>
        <v>259850768.72130001</v>
      </c>
      <c r="P14" s="122">
        <f t="shared" si="7"/>
        <v>230978461.08560002</v>
      </c>
      <c r="Q14" s="122">
        <f t="shared" ref="Q14:Q15" si="8">$N14*70%</f>
        <v>202106153.44989997</v>
      </c>
      <c r="R14" s="141" t="s">
        <v>33</v>
      </c>
      <c r="S14" s="50" t="s">
        <v>36</v>
      </c>
      <c r="T14" s="50" t="s">
        <v>36</v>
      </c>
      <c r="U14" s="47" t="s">
        <v>36</v>
      </c>
      <c r="V14" s="47" t="s">
        <v>36</v>
      </c>
      <c r="W14" s="125" t="s">
        <v>36</v>
      </c>
      <c r="X14" s="24" t="s">
        <v>38</v>
      </c>
      <c r="Y14" s="19" t="s">
        <v>59</v>
      </c>
      <c r="Z14" s="42" t="s">
        <v>72</v>
      </c>
      <c r="AA14" s="35">
        <v>724011007</v>
      </c>
      <c r="AB14" s="8"/>
    </row>
    <row r="15" spans="1:28" x14ac:dyDescent="0.25">
      <c r="A15" s="167"/>
      <c r="B15" s="69" t="s">
        <v>2</v>
      </c>
      <c r="C15" s="70">
        <v>2923</v>
      </c>
      <c r="D15" s="71" t="s">
        <v>18</v>
      </c>
      <c r="E15" s="158"/>
      <c r="F15" s="160"/>
      <c r="G15" s="104">
        <v>20500000</v>
      </c>
      <c r="H15" s="104">
        <f t="shared" si="2"/>
        <v>16942148.76033058</v>
      </c>
      <c r="I15" s="121"/>
      <c r="J15" s="128"/>
      <c r="K15" s="53">
        <f t="shared" si="0"/>
        <v>410000</v>
      </c>
      <c r="L15" s="53">
        <f t="shared" si="1"/>
        <v>143500</v>
      </c>
      <c r="M15" s="128"/>
      <c r="N15" s="128"/>
      <c r="O15" s="179">
        <f t="shared" si="4"/>
        <v>0</v>
      </c>
      <c r="P15" s="179">
        <f t="shared" si="7"/>
        <v>0</v>
      </c>
      <c r="Q15" s="179">
        <f t="shared" si="8"/>
        <v>0</v>
      </c>
      <c r="R15" s="141"/>
      <c r="S15" s="89" t="s">
        <v>43</v>
      </c>
      <c r="T15" s="50" t="s">
        <v>36</v>
      </c>
      <c r="U15" s="47" t="s">
        <v>36</v>
      </c>
      <c r="V15" s="47" t="s">
        <v>36</v>
      </c>
      <c r="W15" s="127"/>
      <c r="X15" s="24" t="s">
        <v>38</v>
      </c>
      <c r="Y15" s="19" t="s">
        <v>59</v>
      </c>
      <c r="Z15" s="42" t="s">
        <v>72</v>
      </c>
      <c r="AA15" s="35">
        <v>724011007</v>
      </c>
      <c r="AB15" s="8"/>
    </row>
    <row r="16" spans="1:28" ht="18.75" x14ac:dyDescent="0.3">
      <c r="A16" s="43">
        <v>10</v>
      </c>
      <c r="B16" s="13" t="s">
        <v>2</v>
      </c>
      <c r="C16" s="14">
        <v>27015</v>
      </c>
      <c r="D16" s="14" t="s">
        <v>15</v>
      </c>
      <c r="E16" s="97">
        <v>10</v>
      </c>
      <c r="F16" s="102" t="s">
        <v>104</v>
      </c>
      <c r="G16" s="57">
        <v>15989031.7785</v>
      </c>
      <c r="H16" s="57">
        <f t="shared" si="2"/>
        <v>13214075.85</v>
      </c>
      <c r="I16" s="57">
        <f>H16</f>
        <v>13214075.85</v>
      </c>
      <c r="J16" s="53"/>
      <c r="K16" s="93">
        <f t="shared" si="0"/>
        <v>319780.63556999998</v>
      </c>
      <c r="L16" s="93">
        <f t="shared" si="1"/>
        <v>111923.2224495</v>
      </c>
      <c r="M16" s="93"/>
      <c r="N16" s="93">
        <f>G16+N14</f>
        <v>304712108.13550001</v>
      </c>
      <c r="O16" s="93">
        <f t="shared" si="4"/>
        <v>274240897.32195002</v>
      </c>
      <c r="P16" s="93">
        <f>$N16*80%</f>
        <v>243769686.50840002</v>
      </c>
      <c r="Q16" s="93">
        <f>$N16*70%</f>
        <v>213298475.69485</v>
      </c>
      <c r="R16" s="80" t="s">
        <v>24</v>
      </c>
      <c r="S16" s="49" t="s">
        <v>42</v>
      </c>
      <c r="T16" s="48" t="s">
        <v>42</v>
      </c>
      <c r="U16" s="47" t="s">
        <v>36</v>
      </c>
      <c r="V16" s="51" t="s">
        <v>42</v>
      </c>
      <c r="W16" s="51" t="s">
        <v>121</v>
      </c>
      <c r="X16" s="24" t="s">
        <v>39</v>
      </c>
      <c r="Y16" s="19" t="s">
        <v>58</v>
      </c>
      <c r="Z16" s="42" t="s">
        <v>70</v>
      </c>
      <c r="AA16" s="35">
        <v>731675952</v>
      </c>
      <c r="AB16" s="8"/>
    </row>
    <row r="17" spans="1:28" s="12" customFormat="1" ht="15" customHeight="1" x14ac:dyDescent="0.25">
      <c r="A17" s="171">
        <v>4</v>
      </c>
      <c r="B17" s="63" t="s">
        <v>2</v>
      </c>
      <c r="C17" s="64">
        <v>28743</v>
      </c>
      <c r="D17" s="65" t="s">
        <v>6</v>
      </c>
      <c r="E17" s="163">
        <v>11</v>
      </c>
      <c r="F17" s="162" t="s">
        <v>105</v>
      </c>
      <c r="G17" s="53">
        <v>13800000</v>
      </c>
      <c r="H17" s="53">
        <f t="shared" si="2"/>
        <v>11404958.67768595</v>
      </c>
      <c r="I17" s="122">
        <f>H19+H18+H17</f>
        <v>32892561.983471073</v>
      </c>
      <c r="J17" s="149"/>
      <c r="K17" s="53">
        <f t="shared" si="0"/>
        <v>276000</v>
      </c>
      <c r="L17" s="53">
        <f t="shared" si="1"/>
        <v>96600</v>
      </c>
      <c r="M17" s="122"/>
      <c r="N17" s="122">
        <f>G19+G18+G17+N16</f>
        <v>344512108.13550001</v>
      </c>
      <c r="O17" s="122">
        <f t="shared" si="4"/>
        <v>310060897.32195002</v>
      </c>
      <c r="P17" s="122">
        <f t="shared" ref="P17:P21" si="9">$N17*80%</f>
        <v>275609686.50840002</v>
      </c>
      <c r="Q17" s="122">
        <f t="shared" ref="Q17:Q21" si="10">$N17*70%</f>
        <v>241158475.69485</v>
      </c>
      <c r="R17" s="141" t="s">
        <v>31</v>
      </c>
      <c r="S17" s="88" t="s">
        <v>43</v>
      </c>
      <c r="T17" s="50" t="s">
        <v>36</v>
      </c>
      <c r="U17" s="50" t="s">
        <v>36</v>
      </c>
      <c r="V17" s="47" t="s">
        <v>36</v>
      </c>
      <c r="W17" s="125" t="s">
        <v>36</v>
      </c>
      <c r="X17" s="24" t="s">
        <v>37</v>
      </c>
      <c r="Y17" s="20" t="s">
        <v>54</v>
      </c>
      <c r="Z17" s="36" t="s">
        <v>66</v>
      </c>
      <c r="AA17" s="41">
        <v>733728956</v>
      </c>
    </row>
    <row r="18" spans="1:28" s="12" customFormat="1" ht="15" customHeight="1" x14ac:dyDescent="0.25">
      <c r="A18" s="171"/>
      <c r="B18" s="63" t="s">
        <v>2</v>
      </c>
      <c r="C18" s="64">
        <v>28744</v>
      </c>
      <c r="D18" s="65" t="s">
        <v>6</v>
      </c>
      <c r="E18" s="164"/>
      <c r="F18" s="165"/>
      <c r="G18" s="53">
        <v>16500000</v>
      </c>
      <c r="H18" s="53">
        <f t="shared" si="2"/>
        <v>13636363.636363637</v>
      </c>
      <c r="I18" s="123"/>
      <c r="J18" s="151"/>
      <c r="K18" s="53">
        <f t="shared" si="0"/>
        <v>330000</v>
      </c>
      <c r="L18" s="53">
        <f t="shared" si="1"/>
        <v>115500</v>
      </c>
      <c r="M18" s="123"/>
      <c r="N18" s="123"/>
      <c r="O18" s="123">
        <f t="shared" si="4"/>
        <v>0</v>
      </c>
      <c r="P18" s="123">
        <f t="shared" si="9"/>
        <v>0</v>
      </c>
      <c r="Q18" s="123">
        <f t="shared" si="10"/>
        <v>0</v>
      </c>
      <c r="R18" s="141"/>
      <c r="S18" s="88" t="s">
        <v>43</v>
      </c>
      <c r="T18" s="50" t="s">
        <v>36</v>
      </c>
      <c r="U18" s="50" t="s">
        <v>36</v>
      </c>
      <c r="V18" s="47" t="s">
        <v>36</v>
      </c>
      <c r="W18" s="126"/>
      <c r="X18" s="24" t="s">
        <v>37</v>
      </c>
      <c r="Y18" s="20" t="s">
        <v>54</v>
      </c>
      <c r="Z18" s="36" t="s">
        <v>66</v>
      </c>
      <c r="AA18" s="41">
        <v>733728956</v>
      </c>
    </row>
    <row r="19" spans="1:28" s="12" customFormat="1" ht="15.75" customHeight="1" x14ac:dyDescent="0.25">
      <c r="A19" s="171"/>
      <c r="B19" s="1" t="s">
        <v>2</v>
      </c>
      <c r="C19" s="64">
        <v>28745</v>
      </c>
      <c r="D19" s="65" t="s">
        <v>7</v>
      </c>
      <c r="E19" s="158"/>
      <c r="F19" s="160"/>
      <c r="G19" s="53">
        <v>9500000</v>
      </c>
      <c r="H19" s="53">
        <f t="shared" si="2"/>
        <v>7851239.6694214875</v>
      </c>
      <c r="I19" s="124"/>
      <c r="J19" s="150"/>
      <c r="K19" s="53">
        <f t="shared" si="0"/>
        <v>190000</v>
      </c>
      <c r="L19" s="53">
        <f t="shared" si="1"/>
        <v>66500</v>
      </c>
      <c r="M19" s="124"/>
      <c r="N19" s="124"/>
      <c r="O19" s="124">
        <f t="shared" si="4"/>
        <v>0</v>
      </c>
      <c r="P19" s="124">
        <f t="shared" si="9"/>
        <v>0</v>
      </c>
      <c r="Q19" s="124">
        <f t="shared" si="10"/>
        <v>0</v>
      </c>
      <c r="R19" s="141"/>
      <c r="S19" s="88" t="s">
        <v>43</v>
      </c>
      <c r="T19" s="50" t="s">
        <v>36</v>
      </c>
      <c r="U19" s="50" t="s">
        <v>36</v>
      </c>
      <c r="V19" s="47" t="s">
        <v>36</v>
      </c>
      <c r="W19" s="127"/>
      <c r="X19" s="24" t="s">
        <v>37</v>
      </c>
      <c r="Y19" s="20" t="s">
        <v>54</v>
      </c>
      <c r="Z19" s="36" t="s">
        <v>66</v>
      </c>
      <c r="AA19" s="41">
        <v>733728956</v>
      </c>
    </row>
    <row r="20" spans="1:28" s="8" customFormat="1" ht="15" customHeight="1" x14ac:dyDescent="0.25">
      <c r="A20" s="167">
        <v>3</v>
      </c>
      <c r="B20" s="1" t="s">
        <v>2</v>
      </c>
      <c r="C20" s="11">
        <v>26318</v>
      </c>
      <c r="D20" s="28" t="s">
        <v>4</v>
      </c>
      <c r="E20" s="161">
        <v>12</v>
      </c>
      <c r="F20" s="162" t="s">
        <v>106</v>
      </c>
      <c r="G20" s="57">
        <v>28037278.311900001</v>
      </c>
      <c r="H20" s="57">
        <f t="shared" si="2"/>
        <v>23171304.390000001</v>
      </c>
      <c r="I20" s="120">
        <f>H21+H20</f>
        <v>38146763.57181818</v>
      </c>
      <c r="J20" s="149"/>
      <c r="K20" s="53">
        <f t="shared" si="0"/>
        <v>560745.56623800006</v>
      </c>
      <c r="L20" s="53">
        <f t="shared" si="1"/>
        <v>196260.9481833</v>
      </c>
      <c r="M20" s="122"/>
      <c r="N20" s="122">
        <f>G21+G20+N17</f>
        <v>390669692.05739999</v>
      </c>
      <c r="O20" s="122">
        <f t="shared" si="4"/>
        <v>351602722.85166001</v>
      </c>
      <c r="P20" s="122">
        <f t="shared" si="9"/>
        <v>312535753.64591998</v>
      </c>
      <c r="Q20" s="122">
        <f t="shared" si="10"/>
        <v>273468784.44018</v>
      </c>
      <c r="R20" s="141" t="s">
        <v>30</v>
      </c>
      <c r="S20" s="88" t="s">
        <v>43</v>
      </c>
      <c r="T20" s="48" t="s">
        <v>42</v>
      </c>
      <c r="U20" s="47" t="s">
        <v>36</v>
      </c>
      <c r="V20" s="51" t="s">
        <v>42</v>
      </c>
      <c r="W20" s="125" t="s">
        <v>36</v>
      </c>
      <c r="X20" s="24" t="s">
        <v>39</v>
      </c>
      <c r="Y20" s="19" t="s">
        <v>53</v>
      </c>
      <c r="Z20" s="36" t="s">
        <v>64</v>
      </c>
      <c r="AA20" s="40">
        <v>602704363</v>
      </c>
    </row>
    <row r="21" spans="1:28" s="8" customFormat="1" ht="15.75" customHeight="1" x14ac:dyDescent="0.25">
      <c r="A21" s="167"/>
      <c r="B21" s="1" t="s">
        <v>2</v>
      </c>
      <c r="C21" s="11">
        <v>26317</v>
      </c>
      <c r="D21" s="28" t="s">
        <v>5</v>
      </c>
      <c r="E21" s="158"/>
      <c r="F21" s="160"/>
      <c r="G21" s="104">
        <v>18120305.609999999</v>
      </c>
      <c r="H21" s="104">
        <f t="shared" si="2"/>
        <v>14975459.181818182</v>
      </c>
      <c r="I21" s="121"/>
      <c r="J21" s="150"/>
      <c r="K21" s="53">
        <f t="shared" si="0"/>
        <v>362406.11219999997</v>
      </c>
      <c r="L21" s="53">
        <f t="shared" si="1"/>
        <v>126842.13927</v>
      </c>
      <c r="M21" s="124"/>
      <c r="N21" s="124"/>
      <c r="O21" s="124">
        <f t="shared" si="4"/>
        <v>0</v>
      </c>
      <c r="P21" s="124">
        <f t="shared" si="9"/>
        <v>0</v>
      </c>
      <c r="Q21" s="124">
        <f t="shared" si="10"/>
        <v>0</v>
      </c>
      <c r="R21" s="141"/>
      <c r="S21" s="88" t="s">
        <v>43</v>
      </c>
      <c r="T21" s="50" t="s">
        <v>36</v>
      </c>
      <c r="U21" s="47" t="s">
        <v>36</v>
      </c>
      <c r="V21" s="47" t="s">
        <v>36</v>
      </c>
      <c r="W21" s="127"/>
      <c r="X21" s="24" t="s">
        <v>39</v>
      </c>
      <c r="Y21" s="19" t="s">
        <v>53</v>
      </c>
      <c r="Z21" s="36" t="s">
        <v>65</v>
      </c>
      <c r="AA21" s="40">
        <v>602160959</v>
      </c>
    </row>
    <row r="22" spans="1:28" x14ac:dyDescent="0.25">
      <c r="A22" s="168">
        <v>15</v>
      </c>
      <c r="B22" s="72" t="s">
        <v>2</v>
      </c>
      <c r="C22" s="73">
        <v>29022</v>
      </c>
      <c r="D22" s="74" t="s">
        <v>44</v>
      </c>
      <c r="E22" s="176">
        <v>13</v>
      </c>
      <c r="F22" s="146" t="s">
        <v>108</v>
      </c>
      <c r="G22" s="55">
        <v>19800000</v>
      </c>
      <c r="H22" s="55">
        <f>G22/1.21</f>
        <v>16363636.363636363</v>
      </c>
      <c r="I22" s="55"/>
      <c r="J22" s="152"/>
      <c r="K22" s="53">
        <f>0.02*G22</f>
        <v>396000</v>
      </c>
      <c r="L22" s="53">
        <f>0.007*G22</f>
        <v>138600</v>
      </c>
      <c r="M22" s="155"/>
      <c r="N22" s="129">
        <f>G23+N20</f>
        <v>426669692.05739999</v>
      </c>
      <c r="O22" s="129">
        <f>N22*90%</f>
        <v>384002722.85166001</v>
      </c>
      <c r="P22" s="129">
        <f>$N22*80%</f>
        <v>341335753.64592004</v>
      </c>
      <c r="Q22" s="129">
        <f>$N22*70%</f>
        <v>298668784.44017994</v>
      </c>
      <c r="R22" s="136" t="s">
        <v>123</v>
      </c>
      <c r="S22" s="90" t="s">
        <v>43</v>
      </c>
      <c r="T22" s="50" t="s">
        <v>36</v>
      </c>
      <c r="U22" s="47" t="s">
        <v>36</v>
      </c>
      <c r="V22" s="47" t="s">
        <v>36</v>
      </c>
      <c r="W22" s="125" t="s">
        <v>36</v>
      </c>
      <c r="X22" s="24" t="s">
        <v>39</v>
      </c>
      <c r="Y22" s="19" t="s">
        <v>58</v>
      </c>
      <c r="Z22" s="42" t="s">
        <v>76</v>
      </c>
      <c r="AA22" s="35">
        <v>485103336</v>
      </c>
      <c r="AB22" s="8"/>
    </row>
    <row r="23" spans="1:28" x14ac:dyDescent="0.25">
      <c r="A23" s="169"/>
      <c r="B23" s="72" t="s">
        <v>2</v>
      </c>
      <c r="C23" s="73">
        <v>29022</v>
      </c>
      <c r="D23" s="74" t="s">
        <v>45</v>
      </c>
      <c r="E23" s="177"/>
      <c r="F23" s="147"/>
      <c r="G23" s="103">
        <v>36000000</v>
      </c>
      <c r="H23" s="103">
        <f>G23/1.21</f>
        <v>29752066.11570248</v>
      </c>
      <c r="I23" s="103">
        <f>H23</f>
        <v>29752066.11570248</v>
      </c>
      <c r="J23" s="153"/>
      <c r="K23" s="53">
        <f>0.02*G23</f>
        <v>720000</v>
      </c>
      <c r="L23" s="53">
        <f>0.007*G23</f>
        <v>252000</v>
      </c>
      <c r="M23" s="132"/>
      <c r="N23" s="132"/>
      <c r="O23" s="130">
        <f>N23*90%</f>
        <v>0</v>
      </c>
      <c r="P23" s="130">
        <f>$N23*80%</f>
        <v>0</v>
      </c>
      <c r="Q23" s="130">
        <f>$N23*70%</f>
        <v>0</v>
      </c>
      <c r="R23" s="137"/>
      <c r="S23" s="90" t="s">
        <v>43</v>
      </c>
      <c r="T23" s="50" t="s">
        <v>36</v>
      </c>
      <c r="U23" s="47" t="s">
        <v>36</v>
      </c>
      <c r="V23" s="47" t="s">
        <v>36</v>
      </c>
      <c r="W23" s="126"/>
      <c r="X23" s="24" t="s">
        <v>39</v>
      </c>
      <c r="Y23" s="19" t="s">
        <v>58</v>
      </c>
      <c r="Z23" s="42" t="s">
        <v>76</v>
      </c>
      <c r="AA23" s="35">
        <v>485103336</v>
      </c>
      <c r="AB23" s="8"/>
    </row>
    <row r="24" spans="1:28" x14ac:dyDescent="0.25">
      <c r="A24" s="170"/>
      <c r="B24" s="72" t="s">
        <v>2</v>
      </c>
      <c r="C24" s="73">
        <v>29022</v>
      </c>
      <c r="D24" s="74" t="s">
        <v>46</v>
      </c>
      <c r="E24" s="178"/>
      <c r="F24" s="148"/>
      <c r="G24" s="56">
        <v>29000000</v>
      </c>
      <c r="H24" s="56">
        <f>G24/1.21</f>
        <v>23966942.14876033</v>
      </c>
      <c r="I24" s="56"/>
      <c r="J24" s="154"/>
      <c r="K24" s="53">
        <f>0.02*G24</f>
        <v>580000</v>
      </c>
      <c r="L24" s="53">
        <f>0.007*G24</f>
        <v>203000</v>
      </c>
      <c r="M24" s="133"/>
      <c r="N24" s="133"/>
      <c r="O24" s="131">
        <f>N24*90%</f>
        <v>0</v>
      </c>
      <c r="P24" s="131">
        <f>$N24*80%</f>
        <v>0</v>
      </c>
      <c r="Q24" s="131">
        <f>$N24*70%</f>
        <v>0</v>
      </c>
      <c r="R24" s="138"/>
      <c r="S24" s="90" t="s">
        <v>43</v>
      </c>
      <c r="T24" s="50" t="s">
        <v>36</v>
      </c>
      <c r="U24" s="47" t="s">
        <v>36</v>
      </c>
      <c r="V24" s="47" t="s">
        <v>36</v>
      </c>
      <c r="W24" s="127"/>
      <c r="X24" s="24" t="s">
        <v>39</v>
      </c>
      <c r="Y24" s="19" t="s">
        <v>58</v>
      </c>
      <c r="Z24" s="42" t="s">
        <v>76</v>
      </c>
      <c r="AA24" s="35">
        <v>485103336</v>
      </c>
      <c r="AB24" s="8"/>
    </row>
    <row r="25" spans="1:28" s="33" customFormat="1" ht="30" x14ac:dyDescent="0.25">
      <c r="A25" s="44">
        <v>2</v>
      </c>
      <c r="B25" s="1" t="s">
        <v>2</v>
      </c>
      <c r="C25" s="11">
        <v>28116</v>
      </c>
      <c r="D25" s="28" t="s">
        <v>3</v>
      </c>
      <c r="E25" s="95">
        <v>14</v>
      </c>
      <c r="F25" s="101" t="s">
        <v>107</v>
      </c>
      <c r="G25" s="57">
        <v>62289674.6395</v>
      </c>
      <c r="H25" s="57">
        <f t="shared" si="2"/>
        <v>51479069.950000003</v>
      </c>
      <c r="I25" s="57">
        <f>H25</f>
        <v>51479069.950000003</v>
      </c>
      <c r="J25" s="93"/>
      <c r="K25" s="93">
        <f t="shared" si="0"/>
        <v>1245793.49279</v>
      </c>
      <c r="L25" s="93">
        <f t="shared" si="1"/>
        <v>436027.72247650003</v>
      </c>
      <c r="M25" s="93"/>
      <c r="N25" s="93">
        <f>G25+N22</f>
        <v>488959366.69690001</v>
      </c>
      <c r="O25" s="93">
        <f t="shared" si="4"/>
        <v>440063430.02721</v>
      </c>
      <c r="P25" s="93">
        <f>$N25*80%</f>
        <v>391167493.35752004</v>
      </c>
      <c r="Q25" s="93">
        <f>$N25*70%</f>
        <v>342271556.68782997</v>
      </c>
      <c r="R25" s="79" t="s">
        <v>21</v>
      </c>
      <c r="S25" s="49" t="s">
        <v>42</v>
      </c>
      <c r="T25" s="48" t="s">
        <v>42</v>
      </c>
      <c r="U25" s="50" t="s">
        <v>36</v>
      </c>
      <c r="V25" s="51" t="s">
        <v>42</v>
      </c>
      <c r="W25" s="51" t="s">
        <v>121</v>
      </c>
      <c r="X25" s="32" t="s">
        <v>38</v>
      </c>
      <c r="Y25" s="25" t="s">
        <v>52</v>
      </c>
      <c r="Z25" s="38" t="s">
        <v>63</v>
      </c>
      <c r="AA25" s="39">
        <v>485234525</v>
      </c>
    </row>
    <row r="26" spans="1:28" ht="18.75" x14ac:dyDescent="0.3">
      <c r="E26" s="9"/>
      <c r="F26" s="75" t="s">
        <v>81</v>
      </c>
      <c r="G26" s="82">
        <f t="shared" ref="G26:M26" si="11">SUM(G5:G25)</f>
        <v>537759366.69690001</v>
      </c>
      <c r="H26" s="82">
        <f t="shared" si="11"/>
        <v>444429228.67512399</v>
      </c>
      <c r="I26" s="118">
        <f t="shared" si="11"/>
        <v>404098650.1627273</v>
      </c>
      <c r="J26" s="81">
        <f t="shared" si="11"/>
        <v>0</v>
      </c>
      <c r="K26" s="81">
        <f t="shared" si="11"/>
        <v>10755187.333938001</v>
      </c>
      <c r="L26" s="81">
        <f t="shared" si="11"/>
        <v>3764315.5668783002</v>
      </c>
      <c r="M26" s="81">
        <f t="shared" si="11"/>
        <v>0</v>
      </c>
      <c r="N26" s="81"/>
      <c r="O26" s="81"/>
      <c r="P26" s="81"/>
      <c r="Q26" s="81"/>
      <c r="R26" s="2"/>
    </row>
    <row r="27" spans="1:28" x14ac:dyDescent="0.25">
      <c r="A27" s="106">
        <v>9999999</v>
      </c>
      <c r="C27" s="9" t="s">
        <v>109</v>
      </c>
      <c r="E27" s="87" t="s">
        <v>93</v>
      </c>
      <c r="F27" s="86" t="s">
        <v>90</v>
      </c>
      <c r="J27" s="15"/>
      <c r="L27" s="15"/>
      <c r="M27" s="15"/>
    </row>
    <row r="28" spans="1:28" x14ac:dyDescent="0.25">
      <c r="A28" s="107">
        <v>9999999</v>
      </c>
      <c r="C28" s="9" t="s">
        <v>110</v>
      </c>
      <c r="E28" s="84" t="s">
        <v>94</v>
      </c>
      <c r="F28" s="86" t="s">
        <v>91</v>
      </c>
      <c r="J28" s="15"/>
      <c r="L28" s="15"/>
      <c r="M28" s="15"/>
    </row>
    <row r="29" spans="1:28" x14ac:dyDescent="0.25">
      <c r="A29" s="108">
        <v>9999999</v>
      </c>
      <c r="B29" s="85"/>
      <c r="C29" s="9" t="s">
        <v>113</v>
      </c>
      <c r="J29" s="15"/>
      <c r="L29" s="15"/>
      <c r="M29" s="15"/>
    </row>
    <row r="30" spans="1:28" x14ac:dyDescent="0.25">
      <c r="A30" s="109" t="s">
        <v>42</v>
      </c>
      <c r="C30" s="9" t="s">
        <v>112</v>
      </c>
      <c r="D30" s="83">
        <v>0.9</v>
      </c>
      <c r="E30" s="83"/>
      <c r="F30" s="83"/>
      <c r="G30" s="15">
        <f>D30*G26</f>
        <v>483983430.02721</v>
      </c>
      <c r="H30" s="15"/>
      <c r="I30" s="119"/>
      <c r="L30" s="15"/>
      <c r="M30" s="15"/>
    </row>
    <row r="31" spans="1:28" x14ac:dyDescent="0.25">
      <c r="A31" s="105" t="s">
        <v>43</v>
      </c>
      <c r="C31" s="9" t="s">
        <v>43</v>
      </c>
      <c r="D31" s="83">
        <v>0.8</v>
      </c>
      <c r="E31" s="83"/>
      <c r="F31" s="83"/>
      <c r="G31" s="15">
        <f>D31*G26</f>
        <v>430207493.35752004</v>
      </c>
      <c r="H31" s="15"/>
      <c r="I31" s="119"/>
      <c r="L31" s="15"/>
      <c r="M31" s="15"/>
    </row>
    <row r="32" spans="1:28" x14ac:dyDescent="0.25">
      <c r="A32" s="110" t="s">
        <v>36</v>
      </c>
      <c r="C32" s="9" t="s">
        <v>111</v>
      </c>
      <c r="D32" s="83">
        <v>0.7</v>
      </c>
      <c r="E32" s="83"/>
      <c r="F32" s="83"/>
      <c r="G32" s="15">
        <f>D32*G26</f>
        <v>376431556.68782997</v>
      </c>
      <c r="H32" s="15"/>
      <c r="I32" s="119"/>
      <c r="L32" s="15"/>
      <c r="M32" s="15"/>
    </row>
    <row r="33" spans="4:13" x14ac:dyDescent="0.25">
      <c r="G33" s="15"/>
      <c r="H33" s="15"/>
      <c r="I33" s="119"/>
      <c r="L33" s="15"/>
      <c r="M33" s="15"/>
    </row>
    <row r="34" spans="4:13" x14ac:dyDescent="0.25">
      <c r="D34"/>
      <c r="E34"/>
      <c r="F34"/>
      <c r="G34" s="15"/>
      <c r="H34" s="15"/>
      <c r="I34" s="119"/>
      <c r="L34" s="15"/>
      <c r="M34" s="15"/>
    </row>
    <row r="35" spans="4:13" x14ac:dyDescent="0.25">
      <c r="G35" s="15"/>
      <c r="H35" s="15"/>
      <c r="I35" s="119"/>
      <c r="L35" s="15"/>
      <c r="M35" s="15"/>
    </row>
    <row r="36" spans="4:13" x14ac:dyDescent="0.25">
      <c r="D36" s="83"/>
      <c r="E36" s="83"/>
      <c r="F36" s="83"/>
      <c r="G36" s="15"/>
      <c r="H36" s="15"/>
      <c r="I36" s="119"/>
      <c r="L36" s="15"/>
      <c r="M36" s="15"/>
    </row>
    <row r="37" spans="4:13" x14ac:dyDescent="0.25">
      <c r="D37" s="83"/>
      <c r="E37" s="83"/>
      <c r="F37" s="83"/>
      <c r="G37" s="15"/>
      <c r="H37" s="15"/>
      <c r="I37" s="119"/>
      <c r="L37" s="15"/>
      <c r="M37" s="15"/>
    </row>
    <row r="38" spans="4:13" x14ac:dyDescent="0.25">
      <c r="D38" s="83"/>
      <c r="E38" s="83"/>
      <c r="F38" s="83"/>
      <c r="G38" s="15"/>
      <c r="H38" s="15"/>
      <c r="I38" s="119"/>
      <c r="L38" s="15"/>
      <c r="M38" s="15"/>
    </row>
  </sheetData>
  <mergeCells count="61">
    <mergeCell ref="I6:I7"/>
    <mergeCell ref="E22:E24"/>
    <mergeCell ref="P6:P7"/>
    <mergeCell ref="Q6:Q7"/>
    <mergeCell ref="P14:P15"/>
    <mergeCell ref="Q14:Q15"/>
    <mergeCell ref="P17:P19"/>
    <mergeCell ref="Q17:Q19"/>
    <mergeCell ref="P20:P21"/>
    <mergeCell ref="Q20:Q21"/>
    <mergeCell ref="P22:P24"/>
    <mergeCell ref="Q22:Q24"/>
    <mergeCell ref="O6:O7"/>
    <mergeCell ref="O14:O15"/>
    <mergeCell ref="N6:N7"/>
    <mergeCell ref="N14:N15"/>
    <mergeCell ref="A22:A24"/>
    <mergeCell ref="A20:A21"/>
    <mergeCell ref="A17:A19"/>
    <mergeCell ref="E6:E7"/>
    <mergeCell ref="F6:F7"/>
    <mergeCell ref="A1:C1"/>
    <mergeCell ref="E14:E15"/>
    <mergeCell ref="F14:F15"/>
    <mergeCell ref="E20:E21"/>
    <mergeCell ref="F20:F21"/>
    <mergeCell ref="E17:E19"/>
    <mergeCell ref="F17:F19"/>
    <mergeCell ref="A6:A7"/>
    <mergeCell ref="A14:A15"/>
    <mergeCell ref="W6:W7"/>
    <mergeCell ref="W14:W15"/>
    <mergeCell ref="R22:R24"/>
    <mergeCell ref="B4:C4"/>
    <mergeCell ref="R20:R21"/>
    <mergeCell ref="R17:R19"/>
    <mergeCell ref="R6:R7"/>
    <mergeCell ref="R14:R15"/>
    <mergeCell ref="J6:J7"/>
    <mergeCell ref="M6:M7"/>
    <mergeCell ref="F22:F24"/>
    <mergeCell ref="J20:J21"/>
    <mergeCell ref="J17:J19"/>
    <mergeCell ref="J22:J24"/>
    <mergeCell ref="M22:M24"/>
    <mergeCell ref="M20:M21"/>
    <mergeCell ref="I14:I15"/>
    <mergeCell ref="I17:I19"/>
    <mergeCell ref="I20:I21"/>
    <mergeCell ref="W22:W24"/>
    <mergeCell ref="W20:W21"/>
    <mergeCell ref="W17:W19"/>
    <mergeCell ref="M14:M15"/>
    <mergeCell ref="J14:J15"/>
    <mergeCell ref="O20:O21"/>
    <mergeCell ref="O22:O24"/>
    <mergeCell ref="O17:O19"/>
    <mergeCell ref="M17:M19"/>
    <mergeCell ref="N17:N19"/>
    <mergeCell ref="N20:N21"/>
    <mergeCell ref="N22:N24"/>
  </mergeCells>
  <hyperlinks>
    <hyperlink ref="C13" r:id="rId1" display="foto\2011\Provoz Východ\II-286\II-286-KARTA 41\II-286-41-FOTO Misecky"/>
    <hyperlink ref="Z25" r:id="rId2"/>
    <hyperlink ref="Z20" r:id="rId3"/>
    <hyperlink ref="Z21" r:id="rId4"/>
    <hyperlink ref="Z17" r:id="rId5"/>
    <hyperlink ref="Z18" r:id="rId6"/>
    <hyperlink ref="Z19" r:id="rId7"/>
    <hyperlink ref="Z5" r:id="rId8"/>
    <hyperlink ref="Z9" r:id="rId9"/>
    <hyperlink ref="Z8" r:id="rId10"/>
    <hyperlink ref="Z6" r:id="rId11"/>
    <hyperlink ref="Z7" r:id="rId12"/>
    <hyperlink ref="Z16" r:id="rId13"/>
    <hyperlink ref="Z13" r:id="rId14"/>
    <hyperlink ref="Z14" r:id="rId15"/>
    <hyperlink ref="Z15" r:id="rId16"/>
    <hyperlink ref="Z12" r:id="rId17"/>
    <hyperlink ref="Z10" r:id="rId18"/>
    <hyperlink ref="Z11" r:id="rId19"/>
    <hyperlink ref="Z22" r:id="rId20"/>
    <hyperlink ref="Z23" r:id="rId21"/>
    <hyperlink ref="Z24" r:id="rId22"/>
  </hyperlinks>
  <printOptions horizontalCentered="1"/>
  <pageMargins left="0.31496062992125984" right="0.31496062992125984" top="1.1811023622047245" bottom="1.1811023622047245" header="0.31496062992125984" footer="0.31496062992125984"/>
  <pageSetup paperSize="8" scale="56" orientation="landscape" r:id="rId23"/>
  <headerFooter>
    <oddHeader>&amp;L&amp;F</oddHeader>
  </headerFooter>
  <colBreaks count="1" manualBreakCount="1">
    <brk id="17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ROP</vt:lpstr>
      <vt:lpstr>'přehled ROP'!Oblast_tisku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JanRuzicka</dc:creator>
  <cp:lastModifiedBy>Petera Vladimir</cp:lastModifiedBy>
  <cp:lastPrinted>2014-11-05T15:09:46Z</cp:lastPrinted>
  <dcterms:created xsi:type="dcterms:W3CDTF">2014-06-03T13:28:21Z</dcterms:created>
  <dcterms:modified xsi:type="dcterms:W3CDTF">2014-11-05T15:13:22Z</dcterms:modified>
</cp:coreProperties>
</file>