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1340" windowHeight="8580" activeTab="0"/>
  </bookViews>
  <sheets>
    <sheet name="92006" sheetId="1" r:id="rId1"/>
  </sheets>
  <definedNames>
    <definedName name="_xlnm._FilterDatabase" localSheetId="0" hidden="1">'92006'!$B$7:$J$372</definedName>
  </definedNames>
  <calcPr fullCalcOnLoad="1"/>
</workbook>
</file>

<file path=xl/sharedStrings.xml><?xml version="1.0" encoding="utf-8"?>
<sst xmlns="http://schemas.openxmlformats.org/spreadsheetml/2006/main" count="944" uniqueCount="237">
  <si>
    <t>x</t>
  </si>
  <si>
    <t>uk.</t>
  </si>
  <si>
    <t>SU</t>
  </si>
  <si>
    <t>č.a.</t>
  </si>
  <si>
    <t>§</t>
  </si>
  <si>
    <t>pol.</t>
  </si>
  <si>
    <t>změna</t>
  </si>
  <si>
    <t>DU</t>
  </si>
  <si>
    <t>správce rozpočtových výdajů = odbor dopravy</t>
  </si>
  <si>
    <t>nákup ostatních služeb</t>
  </si>
  <si>
    <t>tis. Kč</t>
  </si>
  <si>
    <t>opravy a udržování</t>
  </si>
  <si>
    <t>Povodně 2013 - SFDI</t>
  </si>
  <si>
    <t>0682280000</t>
  </si>
  <si>
    <t>opravy silnic II. a III. tříd včetně opěrných zdí</t>
  </si>
  <si>
    <t>SR 2014</t>
  </si>
  <si>
    <t>UR I 2014</t>
  </si>
  <si>
    <t>UR II 2014</t>
  </si>
  <si>
    <t>Rozpis výdajů kapitoly 920</t>
  </si>
  <si>
    <t>92006 - Kapitálové výdaje</t>
  </si>
  <si>
    <t>kap.</t>
  </si>
  <si>
    <t>K A P I T Á L O V É  V Ý D A J E</t>
  </si>
  <si>
    <t>kapitálové (investiční) výdaje resortu celkem</t>
  </si>
  <si>
    <t>0670000000</t>
  </si>
  <si>
    <t>výkupy pozemků</t>
  </si>
  <si>
    <t>pozemky</t>
  </si>
  <si>
    <t>0681760000</t>
  </si>
  <si>
    <t>Most přes Valteřický potok ve Valteřicích ev.č. 2634-1</t>
  </si>
  <si>
    <t>budovy, haly a stavby</t>
  </si>
  <si>
    <t>0690600000</t>
  </si>
  <si>
    <t>PD - osazení 2 ks meteohlásek na silnicích II. třídy</t>
  </si>
  <si>
    <t>ostatní nákup dlouhodobého hmotného majetku</t>
  </si>
  <si>
    <t>0690610000</t>
  </si>
  <si>
    <t>Rekonstrukce silnice III/2887 Bozkov</t>
  </si>
  <si>
    <t>0690620000</t>
  </si>
  <si>
    <t>silnice II/290 Frýdlant - Bílý Potok (I.etapa) - povodně</t>
  </si>
  <si>
    <t>(UZ 17789)</t>
  </si>
  <si>
    <t>stavba nebo rekonstrukce silnice</t>
  </si>
  <si>
    <t>0690630000</t>
  </si>
  <si>
    <t>silnice II/592 Chrastava (I.etapa) - povodně</t>
  </si>
  <si>
    <t>0690640000</t>
  </si>
  <si>
    <t>silnice III/03513 a III/03515 Heřmanice - Dětřichov - povodně</t>
  </si>
  <si>
    <t>0690650000</t>
  </si>
  <si>
    <t>silnice III/0353 a III/0357 Víska - Višňová - Poustka - povodně</t>
  </si>
  <si>
    <t>0690660000</t>
  </si>
  <si>
    <t>Studie proveditelnosti železničního spojení Praha – Mladá Boleslav – Liberec</t>
  </si>
  <si>
    <t>0690690000</t>
  </si>
  <si>
    <t>Modernizace silnice Horka u Staré Paky – Dolní Branná</t>
  </si>
  <si>
    <t>ZJ 035</t>
  </si>
  <si>
    <t>investiční transfery krajům</t>
  </si>
  <si>
    <t>0690700000</t>
  </si>
  <si>
    <t>II/290 rekonstrukce opěrné zdi v km 12,5 - 12,6 a mostu 290-011 - povodně</t>
  </si>
  <si>
    <t>0690710000</t>
  </si>
  <si>
    <t>silnice II/290 Frýdlant - Bílý Potok (II. etapa) - povodně</t>
  </si>
  <si>
    <t>0690720000</t>
  </si>
  <si>
    <t>silnice II/592 Chrastava (II. etapa) - povodně</t>
  </si>
  <si>
    <t>0690730000</t>
  </si>
  <si>
    <t>silnice III/27252 Vítkov - povodně</t>
  </si>
  <si>
    <t>0690741601</t>
  </si>
  <si>
    <t>KSS LK - projektová dokumentace - povodňové škody 2013</t>
  </si>
  <si>
    <t>neinvestiční transfery zřízeným příspěvkovým organizacím</t>
  </si>
  <si>
    <t>nespecifikované rezervy</t>
  </si>
  <si>
    <t>(ÚZ 91252)</t>
  </si>
  <si>
    <t>0682320000</t>
  </si>
  <si>
    <t>III/03513 – Dětřichov, havárie silničního tělesa</t>
  </si>
  <si>
    <t>0682330000</t>
  </si>
  <si>
    <t>II/283 - Bělá u Turnova, oprava nábřežní zdi</t>
  </si>
  <si>
    <t>0682340000</t>
  </si>
  <si>
    <t>III/26839 Kunratice u Cvikova, havárie opěrné zdi</t>
  </si>
  <si>
    <t>0682350000</t>
  </si>
  <si>
    <t>III/26841 Cvikov, havárie opěrné zdi</t>
  </si>
  <si>
    <t>0682360000</t>
  </si>
  <si>
    <t>III/26836 Lindava, havárie opěrné zdi</t>
  </si>
  <si>
    <t>0682370000</t>
  </si>
  <si>
    <t>III/26314 Prysk, havárie opěrné zdi</t>
  </si>
  <si>
    <t>0682380000</t>
  </si>
  <si>
    <t>III/2708 Velký Grunov, havárie opěrné zdi</t>
  </si>
  <si>
    <t>0682390000</t>
  </si>
  <si>
    <t>III/2627 Volfartice, havárie opěrné zdi a propustku</t>
  </si>
  <si>
    <t>0682400000</t>
  </si>
  <si>
    <t>III/2628 Skalice u České Lípy, havárie opěrné zdi</t>
  </si>
  <si>
    <t>0682410000</t>
  </si>
  <si>
    <t>III/2911 Krásný Les, havárie opěrné zdi</t>
  </si>
  <si>
    <t>0682420000</t>
  </si>
  <si>
    <t>II/290 Smědava, havárie opěrné zdi</t>
  </si>
  <si>
    <t>0682430000</t>
  </si>
  <si>
    <t>III/2911 Dolní Řasnice, havárie opěrné zdi</t>
  </si>
  <si>
    <t>0682440000</t>
  </si>
  <si>
    <t>III/2918 Horní Řasnice, havárie opěrné zdi</t>
  </si>
  <si>
    <t>0682450000</t>
  </si>
  <si>
    <t>III/2918 Srbská, havárie opěrné zdi</t>
  </si>
  <si>
    <t>0682460000</t>
  </si>
  <si>
    <t>III/2914 Bulovka, havárie opěrné zdi</t>
  </si>
  <si>
    <t>0682470000</t>
  </si>
  <si>
    <t>III/0357 Pertoltice, havárie opěrné zdi</t>
  </si>
  <si>
    <t>0682480000</t>
  </si>
  <si>
    <t>II/290 Smědava, havárie silnice</t>
  </si>
  <si>
    <t>0682490000</t>
  </si>
  <si>
    <t>II/291 Nové Město pod Smrkem, havárie silnice</t>
  </si>
  <si>
    <t>0682500000</t>
  </si>
  <si>
    <t>III/0353 Černousy, havárie propustku</t>
  </si>
  <si>
    <t>0682510000</t>
  </si>
  <si>
    <t>III/0357 Předlánce, havárie propustku</t>
  </si>
  <si>
    <t>0682520000</t>
  </si>
  <si>
    <t>III/0357 Pertoltice, havárie silnice</t>
  </si>
  <si>
    <t>0682530000</t>
  </si>
  <si>
    <t>III/0357 Pertoltice, havárie propustku</t>
  </si>
  <si>
    <t>0682540000</t>
  </si>
  <si>
    <t>III/03514 Kunratice, havárie silnice</t>
  </si>
  <si>
    <t>0682550000</t>
  </si>
  <si>
    <t>III/29011 Ludvíkov pod Smrkem, havárie propustku</t>
  </si>
  <si>
    <t>0682560000</t>
  </si>
  <si>
    <t>III/2903 Raspenava, havárie silnice</t>
  </si>
  <si>
    <t>0682570000</t>
  </si>
  <si>
    <t>III/29011 Raspenava, havárie silnice</t>
  </si>
  <si>
    <t>0682580000</t>
  </si>
  <si>
    <t>III/2916 Hajniště, havárie propustku</t>
  </si>
  <si>
    <t>0682590000</t>
  </si>
  <si>
    <t>III/2904 Oldřichov v H., havárie propustku, p.k. 111</t>
  </si>
  <si>
    <t>0682600000</t>
  </si>
  <si>
    <t>III/2904 Oldřichov v H., havárie propustku, p.k. 110</t>
  </si>
  <si>
    <t>0682610000</t>
  </si>
  <si>
    <t>III/2904 Oldřichov v H., havárie propustku, p.k. 28</t>
  </si>
  <si>
    <t>0682620000</t>
  </si>
  <si>
    <t>III/2904 Oldřichov v Hájích, havárie silnice</t>
  </si>
  <si>
    <t>0682630000</t>
  </si>
  <si>
    <t>II/278 Hamr na Jezeře, havárie silnice</t>
  </si>
  <si>
    <t>0682640000</t>
  </si>
  <si>
    <t>II/278 Břevniště, havárie propustku</t>
  </si>
  <si>
    <t>0682650000</t>
  </si>
  <si>
    <t>III/26842 Rousínov, havárie propustku</t>
  </si>
  <si>
    <t>0682660000</t>
  </si>
  <si>
    <t>II/278 Stráž pod Ralskem, havárie silnice</t>
  </si>
  <si>
    <t>0682670000</t>
  </si>
  <si>
    <t>III/26318 Polevsko, havárie propustku</t>
  </si>
  <si>
    <t>0682680000</t>
  </si>
  <si>
    <t>III/2627 Horní Libchava, havárie propustku</t>
  </si>
  <si>
    <t>0682690000</t>
  </si>
  <si>
    <t>592-008 Kryštofovo Údolí, havárie mostu</t>
  </si>
  <si>
    <t>0682700000</t>
  </si>
  <si>
    <t>592-010 Kryštofovo Údolí, havárie mostu</t>
  </si>
  <si>
    <t>0682710000</t>
  </si>
  <si>
    <t>27241-1 Křižany, havárie mostu</t>
  </si>
  <si>
    <t>0682720000</t>
  </si>
  <si>
    <t>2713-5 Chotyně, havárie mostu</t>
  </si>
  <si>
    <t>0682730000</t>
  </si>
  <si>
    <t>III/27241 Křižany, havárie opěrné zdi, p.k. 76</t>
  </si>
  <si>
    <t>0682740000</t>
  </si>
  <si>
    <t>III/27241 Křižany, havárie opěrné zdi, p.k. 77</t>
  </si>
  <si>
    <t>0682750000</t>
  </si>
  <si>
    <t>III/27241 Křižany, havárie opěrné zdi, p.k. 78</t>
  </si>
  <si>
    <t>0682760000</t>
  </si>
  <si>
    <t>III/27243 Zdislava, havárie opěrné zdi</t>
  </si>
  <si>
    <t>0682770000</t>
  </si>
  <si>
    <t>II/592 Kryštofovo Údolí, havárie opěrné zdi, p.k. 58</t>
  </si>
  <si>
    <t>0682780000</t>
  </si>
  <si>
    <t>II/592 Kryštofovo Údolí, havárie opěrné zdi, p.k. 61</t>
  </si>
  <si>
    <t>0682790000</t>
  </si>
  <si>
    <t>III/2711 Chotyně, havárie opěrné zdi</t>
  </si>
  <si>
    <t>0682800000</t>
  </si>
  <si>
    <t>III/2711 Bílý Kostel, havárie propustku</t>
  </si>
  <si>
    <t>0682810000</t>
  </si>
  <si>
    <t>III/27247 Machnín, havárie opěrné zdi</t>
  </si>
  <si>
    <t>0682820000</t>
  </si>
  <si>
    <t>III/27716 Kněžičky, havárie opěrné zdi, p.k. 63</t>
  </si>
  <si>
    <t>0682830000</t>
  </si>
  <si>
    <t>III/27716 Kněžičky, havárie opěrné zdi, p.k. 64</t>
  </si>
  <si>
    <t>0682840000</t>
  </si>
  <si>
    <t>III/27251 Chrastava, havárie opěrné zdi</t>
  </si>
  <si>
    <t>0682850000</t>
  </si>
  <si>
    <t>294-001 Vítkovice, havárie mostu</t>
  </si>
  <si>
    <t>0682860000</t>
  </si>
  <si>
    <t>29056-2 Paseky nad Jizerou, havárie mostu</t>
  </si>
  <si>
    <t>0682870000</t>
  </si>
  <si>
    <t>2951-6 Zálesní Lhota, havárie mostu</t>
  </si>
  <si>
    <t>0682880000</t>
  </si>
  <si>
    <t>II/286 Dolní Štěpanice, havárie opěrné zdi</t>
  </si>
  <si>
    <t>0682890000</t>
  </si>
  <si>
    <t>II/290 Roprachtice, havárie opěrné zdi</t>
  </si>
  <si>
    <t>0682900000</t>
  </si>
  <si>
    <t>III/27244 Rynoltice, havárie propustku</t>
  </si>
  <si>
    <t>0682910000</t>
  </si>
  <si>
    <t>III/2905 Mníšek, havárie propustku</t>
  </si>
  <si>
    <t>0682920000</t>
  </si>
  <si>
    <t>III/2907 Fojtka, havárie silnice</t>
  </si>
  <si>
    <t>0682930000</t>
  </si>
  <si>
    <t>III/27243 Jitrava, havárie propustku</t>
  </si>
  <si>
    <t>0682940000</t>
  </si>
  <si>
    <t>II/592 Křižany, havárie silnice</t>
  </si>
  <si>
    <t>0682950000</t>
  </si>
  <si>
    <t>III/27241 Žibřidice, havárie silnice</t>
  </si>
  <si>
    <t>0682960000</t>
  </si>
  <si>
    <t>III/29020 Liberec, havárie propustku a silnice</t>
  </si>
  <si>
    <t>0682970000</t>
  </si>
  <si>
    <t>III/27253 Nová Ves, havárie silnice</t>
  </si>
  <si>
    <t>0682980000</t>
  </si>
  <si>
    <t>III/2907 Fojtka, havárie propustku</t>
  </si>
  <si>
    <t>0682990000</t>
  </si>
  <si>
    <t>III/2784 Ještěd, havárie silnice (065a + 065b)</t>
  </si>
  <si>
    <t>0683000000</t>
  </si>
  <si>
    <t>III/2784 Ještěd, havárie propustku, p.k. 66</t>
  </si>
  <si>
    <t>0683010000</t>
  </si>
  <si>
    <t>III/2784 Ještěd, havárie propustku, p.k. 67</t>
  </si>
  <si>
    <t>0683020000</t>
  </si>
  <si>
    <t>III/27240 Druzcov, havárie propustku</t>
  </si>
  <si>
    <t>0683030000</t>
  </si>
  <si>
    <t>III/2711 Chotyně, havárie propustku</t>
  </si>
  <si>
    <t>0683040000</t>
  </si>
  <si>
    <t>III/29020 Liberec, havárie propustku</t>
  </si>
  <si>
    <t>0683050000</t>
  </si>
  <si>
    <t>III/29020 Liberec, havárie silnice</t>
  </si>
  <si>
    <t>0683060000</t>
  </si>
  <si>
    <t>III/2711 Chotyně, havárie silnice</t>
  </si>
  <si>
    <t>0683070000</t>
  </si>
  <si>
    <t>III/01326 Krásná Studánka, havárie propustku</t>
  </si>
  <si>
    <t>0683080000</t>
  </si>
  <si>
    <t>III/27247 Machnín, havárie silnice</t>
  </si>
  <si>
    <t>0683090000</t>
  </si>
  <si>
    <t>III/2931 Levínská Olešnice, havárie silnice</t>
  </si>
  <si>
    <t>0683100000</t>
  </si>
  <si>
    <t>III/28312 Tample, havárie propustku a silnice</t>
  </si>
  <si>
    <t>0683110000</t>
  </si>
  <si>
    <t>II/286 Vítkovice, Mísečky, havárie silnice</t>
  </si>
  <si>
    <t>0683120000</t>
  </si>
  <si>
    <t>III/28411 Roztoky u Jilemnice, havárie silnice</t>
  </si>
  <si>
    <t>0683130000</t>
  </si>
  <si>
    <t>II/288 Bozkov, havárie propustku</t>
  </si>
  <si>
    <t>0683310000</t>
  </si>
  <si>
    <t>III/26834 Velký Grunov, havárie nábřežní zdi</t>
  </si>
  <si>
    <t>0683320000</t>
  </si>
  <si>
    <t>III/29021 Liberec, ul. Horská, havárie opěrné zdi</t>
  </si>
  <si>
    <t>Opravy silnic II. a III. třídy - Liberecký kraj</t>
  </si>
  <si>
    <t>0683300000</t>
  </si>
  <si>
    <t>III/29020 propustek ul. Jizerská, Liberec</t>
  </si>
  <si>
    <t>Oprava 9 mostů, Bílý potok, Kunratice, Raspenava, Dětřichov, Bulovka a Dolní Pertoltice</t>
  </si>
  <si>
    <t>0681150000</t>
  </si>
  <si>
    <t>22.změna-RO č. 285/14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</si>
</sst>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  <numFmt numFmtId="168" formatCode="0.0"/>
    <numFmt numFmtId="169" formatCode="0.0000"/>
    <numFmt numFmtId="170" formatCode="0.000"/>
    <numFmt numFmtId="171" formatCode="#,##0.000"/>
    <numFmt numFmtId="172" formatCode="#,##0.0000"/>
    <numFmt numFmtId="173" formatCode="#,##0.00000"/>
    <numFmt numFmtId="174" formatCode="0#########"/>
    <numFmt numFmtId="175" formatCode="00000000"/>
    <numFmt numFmtId="176" formatCode="000000####"/>
    <numFmt numFmtId="177" formatCode="#,##0.000000"/>
    <numFmt numFmtId="178" formatCode="#,##0.0000000"/>
  </numFmts>
  <fonts count="3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name val="Arial"/>
      <family val="2"/>
    </font>
    <font>
      <sz val="10"/>
      <name val="Arial CE"/>
      <family val="0"/>
    </font>
    <font>
      <sz val="8"/>
      <name val="Arial CE"/>
      <family val="0"/>
    </font>
    <font>
      <b/>
      <sz val="14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8"/>
      <name val="Tahoma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CC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/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/>
      <bottom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6" fillId="18" borderId="6" applyNumberFormat="0" applyFont="0" applyAlignment="0" applyProtection="0"/>
    <xf numFmtId="9" fontId="0" fillId="0" borderId="0" applyFont="0" applyFill="0" applyBorder="0" applyAlignment="0" applyProtection="0"/>
    <xf numFmtId="0" fontId="16" fillId="0" borderId="7" applyNumberFormat="0" applyFill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7" borderId="8" applyNumberFormat="0" applyAlignment="0" applyProtection="0"/>
    <xf numFmtId="0" fontId="20" fillId="19" borderId="8" applyNumberFormat="0" applyAlignment="0" applyProtection="0"/>
    <xf numFmtId="0" fontId="21" fillId="19" borderId="9" applyNumberFormat="0" applyAlignment="0" applyProtection="0"/>
    <xf numFmtId="0" fontId="22" fillId="0" borderId="0" applyNumberFormat="0" applyFill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3" borderId="0" applyNumberFormat="0" applyBorder="0" applyAlignment="0" applyProtection="0"/>
  </cellStyleXfs>
  <cellXfs count="167">
    <xf numFmtId="0" fontId="0" fillId="0" borderId="0" xfId="0" applyAlignment="1">
      <alignment/>
    </xf>
    <xf numFmtId="4" fontId="4" fillId="0" borderId="10" xfId="50" applyNumberFormat="1" applyFont="1" applyFill="1" applyBorder="1" applyAlignment="1">
      <alignment vertical="center"/>
      <protection/>
    </xf>
    <xf numFmtId="4" fontId="1" fillId="0" borderId="11" xfId="50" applyNumberFormat="1" applyFont="1" applyFill="1" applyBorder="1" applyAlignment="1">
      <alignment vertical="center"/>
      <protection/>
    </xf>
    <xf numFmtId="4" fontId="1" fillId="0" borderId="12" xfId="50" applyNumberFormat="1" applyFont="1" applyFill="1" applyBorder="1" applyAlignment="1">
      <alignment vertical="center"/>
      <protection/>
    </xf>
    <xf numFmtId="4" fontId="1" fillId="0" borderId="13" xfId="50" applyNumberFormat="1" applyFont="1" applyFill="1" applyBorder="1" applyAlignment="1">
      <alignment vertical="center"/>
      <protection/>
    </xf>
    <xf numFmtId="4" fontId="1" fillId="0" borderId="14" xfId="50" applyNumberFormat="1" applyFont="1" applyFill="1" applyBorder="1" applyAlignment="1">
      <alignment vertical="center"/>
      <protection/>
    </xf>
    <xf numFmtId="4" fontId="1" fillId="0" borderId="15" xfId="50" applyNumberFormat="1" applyFont="1" applyFill="1" applyBorder="1" applyAlignment="1">
      <alignment vertical="center"/>
      <protection/>
    </xf>
    <xf numFmtId="0" fontId="1" fillId="0" borderId="16" xfId="50" applyFont="1" applyFill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" fontId="4" fillId="0" borderId="17" xfId="51" applyNumberFormat="1" applyFont="1" applyFill="1" applyBorder="1" applyAlignment="1">
      <alignment vertical="center"/>
      <protection/>
    </xf>
    <xf numFmtId="0" fontId="30" fillId="0" borderId="18" xfId="51" applyFont="1" applyFill="1" applyBorder="1" applyAlignment="1">
      <alignment horizontal="center" vertical="center"/>
      <protection/>
    </xf>
    <xf numFmtId="0" fontId="4" fillId="0" borderId="19" xfId="51" applyFont="1" applyFill="1" applyBorder="1" applyAlignment="1">
      <alignment horizontal="center" vertical="center"/>
      <protection/>
    </xf>
    <xf numFmtId="4" fontId="1" fillId="0" borderId="15" xfId="51" applyNumberFormat="1" applyFont="1" applyFill="1" applyBorder="1" applyAlignment="1">
      <alignment vertical="center"/>
      <protection/>
    </xf>
    <xf numFmtId="4" fontId="1" fillId="0" borderId="14" xfId="51" applyNumberFormat="1" applyFont="1" applyFill="1" applyBorder="1" applyAlignment="1">
      <alignment vertical="center"/>
      <protection/>
    </xf>
    <xf numFmtId="4" fontId="1" fillId="0" borderId="11" xfId="51" applyNumberFormat="1" applyFont="1" applyFill="1" applyBorder="1" applyAlignment="1">
      <alignment vertical="center"/>
      <protection/>
    </xf>
    <xf numFmtId="4" fontId="1" fillId="0" borderId="12" xfId="51" applyNumberFormat="1" applyFont="1" applyFill="1" applyBorder="1" applyAlignment="1">
      <alignment vertical="center"/>
      <protection/>
    </xf>
    <xf numFmtId="0" fontId="30" fillId="0" borderId="20" xfId="51" applyFont="1" applyFill="1" applyBorder="1" applyAlignment="1">
      <alignment horizontal="center" vertical="center"/>
      <protection/>
    </xf>
    <xf numFmtId="0" fontId="30" fillId="0" borderId="18" xfId="51" applyFont="1" applyFill="1" applyBorder="1" applyAlignment="1">
      <alignment vertical="center"/>
      <protection/>
    </xf>
    <xf numFmtId="4" fontId="30" fillId="0" borderId="10" xfId="51" applyNumberFormat="1" applyFont="1" applyFill="1" applyBorder="1" applyAlignment="1">
      <alignment vertical="center"/>
      <protection/>
    </xf>
    <xf numFmtId="49" fontId="4" fillId="0" borderId="21" xfId="51" applyNumberFormat="1" applyFont="1" applyFill="1" applyBorder="1" applyAlignment="1">
      <alignment horizontal="center" vertical="center" wrapText="1"/>
      <protection/>
    </xf>
    <xf numFmtId="0" fontId="4" fillId="0" borderId="21" xfId="51" applyFont="1" applyFill="1" applyBorder="1" applyAlignment="1">
      <alignment horizontal="center" vertical="center"/>
      <protection/>
    </xf>
    <xf numFmtId="0" fontId="4" fillId="0" borderId="22" xfId="51" applyFont="1" applyFill="1" applyBorder="1" applyAlignment="1">
      <alignment vertical="center"/>
      <protection/>
    </xf>
    <xf numFmtId="1" fontId="1" fillId="0" borderId="23" xfId="51" applyNumberFormat="1" applyFont="1" applyBorder="1" applyAlignment="1">
      <alignment horizontal="center" vertical="center"/>
      <protection/>
    </xf>
    <xf numFmtId="2" fontId="1" fillId="0" borderId="24" xfId="51" applyNumberFormat="1" applyFont="1" applyBorder="1" applyAlignment="1">
      <alignment horizontal="left" vertical="center"/>
      <protection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25" xfId="50" applyFont="1" applyFill="1" applyBorder="1" applyAlignment="1">
      <alignment horizontal="center" vertical="center"/>
      <protection/>
    </xf>
    <xf numFmtId="0" fontId="4" fillId="0" borderId="10" xfId="50" applyFont="1" applyFill="1" applyBorder="1" applyAlignment="1">
      <alignment horizontal="center" vertical="center"/>
      <protection/>
    </xf>
    <xf numFmtId="1" fontId="4" fillId="0" borderId="26" xfId="50" applyNumberFormat="1" applyFont="1" applyFill="1" applyBorder="1" applyAlignment="1">
      <alignment horizontal="center" vertical="center"/>
      <protection/>
    </xf>
    <xf numFmtId="2" fontId="4" fillId="0" borderId="27" xfId="50" applyNumberFormat="1" applyFont="1" applyBorder="1" applyAlignment="1">
      <alignment horizontal="center" vertical="center"/>
      <protection/>
    </xf>
    <xf numFmtId="2" fontId="4" fillId="0" borderId="20" xfId="50" applyNumberFormat="1" applyFont="1" applyBorder="1" applyAlignment="1">
      <alignment horizontal="center" vertical="center"/>
      <protection/>
    </xf>
    <xf numFmtId="2" fontId="4" fillId="0" borderId="28" xfId="50" applyNumberFormat="1" applyFont="1" applyFill="1" applyBorder="1" applyAlignment="1">
      <alignment horizontal="center" vertical="center"/>
      <protection/>
    </xf>
    <xf numFmtId="2" fontId="4" fillId="0" borderId="29" xfId="50" applyNumberFormat="1" applyFont="1" applyFill="1" applyBorder="1" applyAlignment="1">
      <alignment horizontal="center" vertical="center"/>
      <protection/>
    </xf>
    <xf numFmtId="4" fontId="4" fillId="0" borderId="30" xfId="50" applyNumberFormat="1" applyFont="1" applyFill="1" applyBorder="1" applyAlignment="1">
      <alignment vertical="center"/>
      <protection/>
    </xf>
    <xf numFmtId="2" fontId="4" fillId="0" borderId="19" xfId="50" applyNumberFormat="1" applyFont="1" applyBorder="1" applyAlignment="1">
      <alignment horizontal="center" vertical="center"/>
      <protection/>
    </xf>
    <xf numFmtId="49" fontId="4" fillId="0" borderId="21" xfId="50" applyNumberFormat="1" applyFont="1" applyBorder="1" applyAlignment="1">
      <alignment horizontal="center" vertical="center"/>
      <protection/>
    </xf>
    <xf numFmtId="2" fontId="4" fillId="0" borderId="21" xfId="50" applyNumberFormat="1" applyFont="1" applyFill="1" applyBorder="1" applyAlignment="1">
      <alignment horizontal="center" vertical="center"/>
      <protection/>
    </xf>
    <xf numFmtId="2" fontId="4" fillId="0" borderId="22" xfId="50" applyNumberFormat="1" applyFont="1" applyFill="1" applyBorder="1" applyAlignment="1">
      <alignment vertical="center"/>
      <protection/>
    </xf>
    <xf numFmtId="4" fontId="4" fillId="0" borderId="17" xfId="50" applyNumberFormat="1" applyFont="1" applyFill="1" applyBorder="1" applyAlignment="1">
      <alignment vertical="center"/>
      <protection/>
    </xf>
    <xf numFmtId="4" fontId="4" fillId="0" borderId="31" xfId="50" applyNumberFormat="1" applyFont="1" applyFill="1" applyBorder="1" applyAlignment="1">
      <alignment vertical="center"/>
      <protection/>
    </xf>
    <xf numFmtId="2" fontId="1" fillId="0" borderId="32" xfId="50" applyNumberFormat="1" applyFont="1" applyBorder="1" applyAlignment="1">
      <alignment horizontal="center" vertical="center"/>
      <protection/>
    </xf>
    <xf numFmtId="2" fontId="1" fillId="0" borderId="33" xfId="50" applyNumberFormat="1" applyFont="1" applyBorder="1" applyAlignment="1">
      <alignment horizontal="center" vertical="center"/>
      <protection/>
    </xf>
    <xf numFmtId="1" fontId="1" fillId="0" borderId="33" xfId="50" applyNumberFormat="1" applyFont="1" applyFill="1" applyBorder="1" applyAlignment="1">
      <alignment horizontal="center" vertical="center"/>
      <protection/>
    </xf>
    <xf numFmtId="2" fontId="1" fillId="0" borderId="34" xfId="50" applyNumberFormat="1" applyFont="1" applyFill="1" applyBorder="1" applyAlignment="1">
      <alignment vertical="center"/>
      <protection/>
    </xf>
    <xf numFmtId="4" fontId="1" fillId="0" borderId="35" xfId="50" applyNumberFormat="1" applyFont="1" applyFill="1" applyBorder="1" applyAlignment="1">
      <alignment vertical="center"/>
      <protection/>
    </xf>
    <xf numFmtId="2" fontId="4" fillId="0" borderId="19" xfId="50" applyNumberFormat="1" applyFont="1" applyFill="1" applyBorder="1" applyAlignment="1">
      <alignment horizontal="center" vertical="center" wrapText="1"/>
      <protection/>
    </xf>
    <xf numFmtId="49" fontId="4" fillId="0" borderId="21" xfId="49" applyNumberFormat="1" applyFont="1" applyFill="1" applyBorder="1" applyAlignment="1">
      <alignment horizontal="center" vertical="center"/>
      <protection/>
    </xf>
    <xf numFmtId="1" fontId="4" fillId="0" borderId="21" xfId="50" applyNumberFormat="1" applyFont="1" applyFill="1" applyBorder="1" applyAlignment="1">
      <alignment horizontal="center" vertical="center" wrapText="1"/>
      <protection/>
    </xf>
    <xf numFmtId="2" fontId="4" fillId="0" borderId="22" xfId="50" applyNumberFormat="1" applyFont="1" applyFill="1" applyBorder="1" applyAlignment="1">
      <alignment horizontal="left" vertical="center"/>
      <protection/>
    </xf>
    <xf numFmtId="2" fontId="1" fillId="0" borderId="36" xfId="50" applyNumberFormat="1" applyFont="1" applyFill="1" applyBorder="1" applyAlignment="1">
      <alignment horizontal="center" vertical="center"/>
      <protection/>
    </xf>
    <xf numFmtId="2" fontId="4" fillId="0" borderId="16" xfId="50" applyNumberFormat="1" applyFont="1" applyFill="1" applyBorder="1" applyAlignment="1">
      <alignment horizontal="center" vertical="center"/>
      <protection/>
    </xf>
    <xf numFmtId="1" fontId="1" fillId="0" borderId="16" xfId="50" applyNumberFormat="1" applyFont="1" applyFill="1" applyBorder="1" applyAlignment="1">
      <alignment horizontal="center" vertical="center"/>
      <protection/>
    </xf>
    <xf numFmtId="1" fontId="1" fillId="0" borderId="37" xfId="50" applyNumberFormat="1" applyFont="1" applyFill="1" applyBorder="1" applyAlignment="1">
      <alignment horizontal="center" vertical="center"/>
      <protection/>
    </xf>
    <xf numFmtId="0" fontId="25" fillId="0" borderId="24" xfId="48" applyFont="1" applyFill="1" applyBorder="1" applyAlignment="1">
      <alignment vertical="center" wrapText="1"/>
      <protection/>
    </xf>
    <xf numFmtId="4" fontId="1" fillId="0" borderId="38" xfId="50" applyNumberFormat="1" applyFont="1" applyFill="1" applyBorder="1" applyAlignment="1">
      <alignment vertical="center"/>
      <protection/>
    </xf>
    <xf numFmtId="49" fontId="4" fillId="0" borderId="21" xfId="50" applyNumberFormat="1" applyFont="1" applyFill="1" applyBorder="1" applyAlignment="1">
      <alignment horizontal="center" vertical="center" wrapText="1"/>
      <protection/>
    </xf>
    <xf numFmtId="2" fontId="4" fillId="0" borderId="22" xfId="50" applyNumberFormat="1" applyFont="1" applyFill="1" applyBorder="1" applyAlignment="1">
      <alignment vertical="center" wrapText="1"/>
      <protection/>
    </xf>
    <xf numFmtId="2" fontId="1" fillId="0" borderId="34" xfId="50" applyNumberFormat="1" applyFont="1" applyFill="1" applyBorder="1" applyAlignment="1">
      <alignment horizontal="left" vertical="center"/>
      <protection/>
    </xf>
    <xf numFmtId="0" fontId="1" fillId="0" borderId="24" xfId="50" applyFont="1" applyFill="1" applyBorder="1" applyAlignment="1">
      <alignment horizontal="left" vertical="center" wrapText="1"/>
      <protection/>
    </xf>
    <xf numFmtId="4" fontId="1" fillId="0" borderId="38" xfId="51" applyNumberFormat="1" applyFont="1" applyFill="1" applyBorder="1" applyAlignment="1">
      <alignment vertical="center"/>
      <protection/>
    </xf>
    <xf numFmtId="0" fontId="4" fillId="0" borderId="19" xfId="50" applyFont="1" applyFill="1" applyBorder="1" applyAlignment="1">
      <alignment horizontal="center" vertical="center"/>
      <protection/>
    </xf>
    <xf numFmtId="0" fontId="4" fillId="0" borderId="21" xfId="50" applyFont="1" applyFill="1" applyBorder="1" applyAlignment="1">
      <alignment horizontal="center" vertical="center"/>
      <protection/>
    </xf>
    <xf numFmtId="0" fontId="4" fillId="0" borderId="22" xfId="50" applyFont="1" applyFill="1" applyBorder="1" applyAlignment="1">
      <alignment vertical="center"/>
      <protection/>
    </xf>
    <xf numFmtId="0" fontId="1" fillId="0" borderId="39" xfId="50" applyFont="1" applyFill="1" applyBorder="1" applyAlignment="1">
      <alignment horizontal="center" vertical="center"/>
      <protection/>
    </xf>
    <xf numFmtId="2" fontId="4" fillId="0" borderId="37" xfId="50" applyNumberFormat="1" applyFont="1" applyBorder="1" applyAlignment="1">
      <alignment horizontal="center" vertical="center"/>
      <protection/>
    </xf>
    <xf numFmtId="2" fontId="1" fillId="0" borderId="40" xfId="50" applyNumberFormat="1" applyFont="1" applyBorder="1" applyAlignment="1">
      <alignment horizontal="center" vertical="center"/>
      <protection/>
    </xf>
    <xf numFmtId="49" fontId="1" fillId="17" borderId="16" xfId="50" applyNumberFormat="1" applyFont="1" applyFill="1" applyBorder="1" applyAlignment="1">
      <alignment horizontal="center" vertical="center"/>
      <protection/>
    </xf>
    <xf numFmtId="0" fontId="25" fillId="0" borderId="41" xfId="48" applyFont="1" applyFill="1" applyBorder="1" applyAlignment="1">
      <alignment vertical="center" wrapText="1"/>
      <protection/>
    </xf>
    <xf numFmtId="4" fontId="1" fillId="0" borderId="42" xfId="50" applyNumberFormat="1" applyFont="1" applyFill="1" applyBorder="1" applyAlignment="1">
      <alignment vertical="center"/>
      <protection/>
    </xf>
    <xf numFmtId="0" fontId="4" fillId="0" borderId="22" xfId="50" applyFont="1" applyFill="1" applyBorder="1" applyAlignment="1">
      <alignment vertical="center" wrapText="1"/>
      <protection/>
    </xf>
    <xf numFmtId="2" fontId="4" fillId="0" borderId="16" xfId="50" applyNumberFormat="1" applyFont="1" applyBorder="1" applyAlignment="1">
      <alignment horizontal="center" vertical="center"/>
      <protection/>
    </xf>
    <xf numFmtId="2" fontId="4" fillId="0" borderId="43" xfId="50" applyNumberFormat="1" applyFont="1" applyBorder="1" applyAlignment="1">
      <alignment horizontal="center" vertical="center"/>
      <protection/>
    </xf>
    <xf numFmtId="2" fontId="4" fillId="0" borderId="19" xfId="50" applyNumberFormat="1" applyFont="1" applyBorder="1" applyAlignment="1">
      <alignment horizontal="center" vertical="center" wrapText="1"/>
      <protection/>
    </xf>
    <xf numFmtId="2" fontId="1" fillId="0" borderId="36" xfId="50" applyNumberFormat="1" applyFont="1" applyBorder="1" applyAlignment="1">
      <alignment horizontal="center" vertical="center"/>
      <protection/>
    </xf>
    <xf numFmtId="0" fontId="25" fillId="0" borderId="34" xfId="48" applyFont="1" applyFill="1" applyBorder="1" applyAlignment="1">
      <alignment vertical="center"/>
      <protection/>
    </xf>
    <xf numFmtId="0" fontId="1" fillId="0" borderId="32" xfId="50" applyFont="1" applyFill="1" applyBorder="1" applyAlignment="1">
      <alignment horizontal="center" vertical="center"/>
      <protection/>
    </xf>
    <xf numFmtId="0" fontId="4" fillId="0" borderId="22" xfId="51" applyFont="1" applyFill="1" applyBorder="1" applyAlignment="1">
      <alignment vertical="center" wrapText="1"/>
      <protection/>
    </xf>
    <xf numFmtId="1" fontId="1" fillId="0" borderId="44" xfId="51" applyNumberFormat="1" applyFont="1" applyFill="1" applyBorder="1" applyAlignment="1">
      <alignment horizontal="center" vertical="center"/>
      <protection/>
    </xf>
    <xf numFmtId="0" fontId="1" fillId="0" borderId="34" xfId="51" applyFont="1" applyFill="1" applyBorder="1" applyAlignment="1">
      <alignment vertical="center"/>
      <protection/>
    </xf>
    <xf numFmtId="0" fontId="30" fillId="0" borderId="45" xfId="51" applyFont="1" applyFill="1" applyBorder="1" applyAlignment="1">
      <alignment horizontal="center" vertical="center"/>
      <protection/>
    </xf>
    <xf numFmtId="0" fontId="31" fillId="0" borderId="20" xfId="50" applyFont="1" applyFill="1" applyBorder="1" applyAlignment="1">
      <alignment horizontal="center" vertical="center"/>
      <protection/>
    </xf>
    <xf numFmtId="0" fontId="30" fillId="0" borderId="46" xfId="50" applyFont="1" applyFill="1" applyBorder="1" applyAlignment="1">
      <alignment vertical="center"/>
      <protection/>
    </xf>
    <xf numFmtId="4" fontId="30" fillId="0" borderId="10" xfId="50" applyNumberFormat="1" applyFont="1" applyFill="1" applyBorder="1" applyAlignment="1">
      <alignment vertical="center"/>
      <protection/>
    </xf>
    <xf numFmtId="0" fontId="0" fillId="0" borderId="0" xfId="50" applyFill="1" applyAlignment="1">
      <alignment vertical="center"/>
      <protection/>
    </xf>
    <xf numFmtId="49" fontId="4" fillId="0" borderId="47" xfId="51" applyNumberFormat="1" applyFont="1" applyFill="1" applyBorder="1" applyAlignment="1">
      <alignment horizontal="center" vertical="center"/>
      <protection/>
    </xf>
    <xf numFmtId="0" fontId="1" fillId="0" borderId="48" xfId="51" applyFont="1" applyFill="1" applyBorder="1" applyAlignment="1">
      <alignment horizontal="center" vertical="center"/>
      <protection/>
    </xf>
    <xf numFmtId="49" fontId="1" fillId="0" borderId="23" xfId="51" applyNumberFormat="1" applyFont="1" applyFill="1" applyBorder="1" applyAlignment="1">
      <alignment horizontal="center" vertical="center"/>
      <protection/>
    </xf>
    <xf numFmtId="1" fontId="1" fillId="0" borderId="23" xfId="50" applyNumberFormat="1" applyFont="1" applyFill="1" applyBorder="1" applyAlignment="1">
      <alignment horizontal="center" vertical="center"/>
      <protection/>
    </xf>
    <xf numFmtId="2" fontId="1" fillId="0" borderId="24" xfId="50" applyNumberFormat="1" applyFont="1" applyFill="1" applyBorder="1" applyAlignment="1">
      <alignment horizontal="left" vertical="center"/>
      <protection/>
    </xf>
    <xf numFmtId="2" fontId="1" fillId="0" borderId="14" xfId="47" applyNumberFormat="1" applyFont="1" applyFill="1" applyBorder="1" applyAlignment="1">
      <alignment horizontal="right" vertical="center"/>
      <protection/>
    </xf>
    <xf numFmtId="4" fontId="1" fillId="0" borderId="49" xfId="50" applyNumberFormat="1" applyFont="1" applyFill="1" applyBorder="1" applyAlignment="1">
      <alignment vertical="center"/>
      <protection/>
    </xf>
    <xf numFmtId="0" fontId="1" fillId="0" borderId="36" xfId="50" applyFont="1" applyFill="1" applyBorder="1" applyAlignment="1">
      <alignment horizontal="center" vertical="center"/>
      <protection/>
    </xf>
    <xf numFmtId="2" fontId="1" fillId="24" borderId="16" xfId="50" applyNumberFormat="1" applyFont="1" applyFill="1" applyBorder="1" applyAlignment="1">
      <alignment horizontal="center" vertical="center"/>
      <protection/>
    </xf>
    <xf numFmtId="1" fontId="1" fillId="0" borderId="50" xfId="50" applyNumberFormat="1" applyFont="1" applyFill="1" applyBorder="1" applyAlignment="1">
      <alignment horizontal="center" vertical="center"/>
      <protection/>
    </xf>
    <xf numFmtId="2" fontId="1" fillId="0" borderId="41" xfId="50" applyNumberFormat="1" applyFont="1" applyFill="1" applyBorder="1" applyAlignment="1">
      <alignment horizontal="left" vertical="center"/>
      <protection/>
    </xf>
    <xf numFmtId="0" fontId="4" fillId="0" borderId="51" xfId="51" applyFont="1" applyFill="1" applyBorder="1" applyAlignment="1">
      <alignment horizontal="center" vertical="center"/>
      <protection/>
    </xf>
    <xf numFmtId="2" fontId="1" fillId="24" borderId="37" xfId="50" applyNumberFormat="1" applyFont="1" applyFill="1" applyBorder="1" applyAlignment="1">
      <alignment horizontal="center" vertical="center"/>
      <protection/>
    </xf>
    <xf numFmtId="0" fontId="1" fillId="0" borderId="24" xfId="50" applyFont="1" applyFill="1" applyBorder="1" applyAlignment="1">
      <alignment vertical="center"/>
      <protection/>
    </xf>
    <xf numFmtId="49" fontId="4" fillId="0" borderId="52" xfId="51" applyNumberFormat="1" applyFont="1" applyFill="1" applyBorder="1" applyAlignment="1">
      <alignment horizontal="center" vertical="center"/>
      <protection/>
    </xf>
    <xf numFmtId="0" fontId="4" fillId="0" borderId="43" xfId="50" applyFont="1" applyFill="1" applyBorder="1" applyAlignment="1">
      <alignment horizontal="center" vertical="center"/>
      <protection/>
    </xf>
    <xf numFmtId="0" fontId="4" fillId="0" borderId="53" xfId="50" applyFont="1" applyFill="1" applyBorder="1" applyAlignment="1">
      <alignment vertical="center"/>
      <protection/>
    </xf>
    <xf numFmtId="4" fontId="4" fillId="0" borderId="15" xfId="50" applyNumberFormat="1" applyFont="1" applyFill="1" applyBorder="1" applyAlignment="1">
      <alignment vertical="center"/>
      <protection/>
    </xf>
    <xf numFmtId="4" fontId="4" fillId="0" borderId="15" xfId="51" applyNumberFormat="1" applyFont="1" applyFill="1" applyBorder="1" applyAlignment="1">
      <alignment vertical="center"/>
      <protection/>
    </xf>
    <xf numFmtId="49" fontId="4" fillId="0" borderId="23" xfId="51" applyNumberFormat="1" applyFont="1" applyFill="1" applyBorder="1" applyAlignment="1">
      <alignment horizontal="center" vertical="center"/>
      <protection/>
    </xf>
    <xf numFmtId="0" fontId="1" fillId="0" borderId="35" xfId="50" applyFont="1" applyFill="1" applyBorder="1" applyAlignment="1">
      <alignment horizontal="center" vertical="center"/>
      <protection/>
    </xf>
    <xf numFmtId="2" fontId="1" fillId="24" borderId="33" xfId="50" applyNumberFormat="1" applyFont="1" applyFill="1" applyBorder="1" applyAlignment="1">
      <alignment horizontal="center" vertical="center"/>
      <protection/>
    </xf>
    <xf numFmtId="1" fontId="1" fillId="0" borderId="44" xfId="50" applyNumberFormat="1" applyFont="1" applyFill="1" applyBorder="1" applyAlignment="1">
      <alignment horizontal="center" vertical="center"/>
      <protection/>
    </xf>
    <xf numFmtId="2" fontId="1" fillId="24" borderId="54" xfId="50" applyNumberFormat="1" applyFont="1" applyFill="1" applyBorder="1" applyAlignment="1">
      <alignment horizontal="center" vertical="center"/>
      <protection/>
    </xf>
    <xf numFmtId="0" fontId="1" fillId="0" borderId="51" xfId="50" applyFont="1" applyFill="1" applyBorder="1" applyAlignment="1">
      <alignment horizontal="center" vertical="center"/>
      <protection/>
    </xf>
    <xf numFmtId="1" fontId="1" fillId="0" borderId="43" xfId="50" applyNumberFormat="1" applyFont="1" applyFill="1" applyBorder="1" applyAlignment="1">
      <alignment horizontal="center" vertical="center"/>
      <protection/>
    </xf>
    <xf numFmtId="1" fontId="1" fillId="0" borderId="52" xfId="50" applyNumberFormat="1" applyFont="1" applyFill="1" applyBorder="1" applyAlignment="1">
      <alignment horizontal="center" vertical="center"/>
      <protection/>
    </xf>
    <xf numFmtId="2" fontId="1" fillId="0" borderId="53" xfId="50" applyNumberFormat="1" applyFont="1" applyFill="1" applyBorder="1" applyAlignment="1">
      <alignment horizontal="left" vertical="center"/>
      <protection/>
    </xf>
    <xf numFmtId="0" fontId="1" fillId="0" borderId="55" xfId="50" applyFont="1" applyFill="1" applyBorder="1" applyAlignment="1">
      <alignment horizontal="center" vertical="center"/>
      <protection/>
    </xf>
    <xf numFmtId="0" fontId="1" fillId="0" borderId="40" xfId="50" applyFont="1" applyFill="1" applyBorder="1" applyAlignment="1">
      <alignment horizontal="center" vertical="center"/>
      <protection/>
    </xf>
    <xf numFmtId="2" fontId="4" fillId="0" borderId="33" xfId="50" applyNumberFormat="1" applyFont="1" applyBorder="1" applyAlignment="1">
      <alignment horizontal="center" vertical="center"/>
      <protection/>
    </xf>
    <xf numFmtId="0" fontId="1" fillId="0" borderId="34" xfId="50" applyFont="1" applyFill="1" applyBorder="1" applyAlignment="1">
      <alignment vertical="center"/>
      <protection/>
    </xf>
    <xf numFmtId="2" fontId="1" fillId="24" borderId="43" xfId="50" applyNumberFormat="1" applyFont="1" applyFill="1" applyBorder="1" applyAlignment="1">
      <alignment horizontal="center" vertical="center"/>
      <protection/>
    </xf>
    <xf numFmtId="0" fontId="1" fillId="0" borderId="38" xfId="50" applyFont="1" applyFill="1" applyBorder="1" applyAlignment="1">
      <alignment horizontal="center" vertical="center"/>
      <protection/>
    </xf>
    <xf numFmtId="2" fontId="1" fillId="24" borderId="37" xfId="51" applyNumberFormat="1" applyFont="1" applyFill="1" applyBorder="1" applyAlignment="1">
      <alignment horizontal="center" vertical="center"/>
      <protection/>
    </xf>
    <xf numFmtId="1" fontId="1" fillId="0" borderId="37" xfId="51" applyNumberFormat="1" applyFont="1" applyFill="1" applyBorder="1" applyAlignment="1">
      <alignment horizontal="center" vertical="center"/>
      <protection/>
    </xf>
    <xf numFmtId="0" fontId="1" fillId="0" borderId="23" xfId="51" applyFont="1" applyBorder="1" applyAlignment="1">
      <alignment vertical="center"/>
      <protection/>
    </xf>
    <xf numFmtId="2" fontId="1" fillId="24" borderId="16" xfId="51" applyNumberFormat="1" applyFont="1" applyFill="1" applyBorder="1" applyAlignment="1">
      <alignment horizontal="center" vertical="center"/>
      <protection/>
    </xf>
    <xf numFmtId="1" fontId="1" fillId="0" borderId="16" xfId="51" applyNumberFormat="1" applyFont="1" applyFill="1" applyBorder="1" applyAlignment="1">
      <alignment horizontal="center" vertical="center"/>
      <protection/>
    </xf>
    <xf numFmtId="1" fontId="1" fillId="0" borderId="50" xfId="51" applyNumberFormat="1" applyFont="1" applyBorder="1" applyAlignment="1">
      <alignment horizontal="center" vertical="center"/>
      <protection/>
    </xf>
    <xf numFmtId="2" fontId="1" fillId="0" borderId="16" xfId="51" applyNumberFormat="1" applyFont="1" applyBorder="1" applyAlignment="1">
      <alignment horizontal="left" vertical="center"/>
      <protection/>
    </xf>
    <xf numFmtId="0" fontId="31" fillId="0" borderId="30" xfId="51" applyFont="1" applyBorder="1" applyAlignment="1">
      <alignment horizontal="center" vertical="center"/>
      <protection/>
    </xf>
    <xf numFmtId="49" fontId="31" fillId="0" borderId="20" xfId="51" applyNumberFormat="1" applyFont="1" applyBorder="1" applyAlignment="1">
      <alignment horizontal="center" vertical="center"/>
      <protection/>
    </xf>
    <xf numFmtId="0" fontId="4" fillId="0" borderId="31" xfId="51" applyFont="1" applyFill="1" applyBorder="1" applyAlignment="1">
      <alignment horizontal="center" vertical="center"/>
      <protection/>
    </xf>
    <xf numFmtId="0" fontId="1" fillId="0" borderId="38" xfId="51" applyFont="1" applyFill="1" applyBorder="1" applyAlignment="1">
      <alignment horizontal="center" vertical="center"/>
      <protection/>
    </xf>
    <xf numFmtId="1" fontId="1" fillId="0" borderId="33" xfId="51" applyNumberFormat="1" applyFont="1" applyFill="1" applyBorder="1" applyAlignment="1">
      <alignment horizontal="center" vertical="center"/>
      <protection/>
    </xf>
    <xf numFmtId="1" fontId="1" fillId="0" borderId="44" xfId="51" applyNumberFormat="1" applyFont="1" applyBorder="1" applyAlignment="1">
      <alignment horizontal="center" vertical="center"/>
      <protection/>
    </xf>
    <xf numFmtId="2" fontId="1" fillId="0" borderId="33" xfId="51" applyNumberFormat="1" applyFont="1" applyBorder="1" applyAlignment="1">
      <alignment horizontal="left" vertical="center"/>
      <protection/>
    </xf>
    <xf numFmtId="0" fontId="0" fillId="0" borderId="0" xfId="0" applyFill="1" applyAlignment="1">
      <alignment vertical="center"/>
    </xf>
    <xf numFmtId="2" fontId="4" fillId="0" borderId="22" xfId="50" applyNumberFormat="1" applyFont="1" applyFill="1" applyBorder="1" applyAlignment="1">
      <alignment horizontal="left" vertical="center" wrapText="1"/>
      <protection/>
    </xf>
    <xf numFmtId="0" fontId="1" fillId="0" borderId="56" xfId="51" applyFont="1" applyFill="1" applyBorder="1" applyAlignment="1">
      <alignment horizontal="center" vertical="center"/>
      <protection/>
    </xf>
    <xf numFmtId="1" fontId="1" fillId="0" borderId="23" xfId="51" applyNumberFormat="1" applyFont="1" applyFill="1" applyBorder="1" applyAlignment="1">
      <alignment horizontal="center" vertical="center"/>
      <protection/>
    </xf>
    <xf numFmtId="171" fontId="1" fillId="0" borderId="11" xfId="50" applyNumberFormat="1" applyFont="1" applyFill="1" applyBorder="1" applyAlignment="1">
      <alignment vertical="center"/>
      <protection/>
    </xf>
    <xf numFmtId="171" fontId="4" fillId="0" borderId="17" xfId="50" applyNumberFormat="1" applyFont="1" applyFill="1" applyBorder="1" applyAlignment="1">
      <alignment vertical="center"/>
      <protection/>
    </xf>
    <xf numFmtId="171" fontId="1" fillId="0" borderId="15" xfId="50" applyNumberFormat="1" applyFont="1" applyFill="1" applyBorder="1" applyAlignment="1">
      <alignment vertical="center"/>
      <protection/>
    </xf>
    <xf numFmtId="171" fontId="1" fillId="0" borderId="14" xfId="50" applyNumberFormat="1" applyFont="1" applyFill="1" applyBorder="1" applyAlignment="1">
      <alignment vertical="center"/>
      <protection/>
    </xf>
    <xf numFmtId="171" fontId="1" fillId="0" borderId="12" xfId="50" applyNumberFormat="1" applyFont="1" applyFill="1" applyBorder="1" applyAlignment="1">
      <alignment vertical="center"/>
      <protection/>
    </xf>
    <xf numFmtId="171" fontId="1" fillId="0" borderId="49" xfId="50" applyNumberFormat="1" applyFont="1" applyFill="1" applyBorder="1" applyAlignment="1">
      <alignment vertical="center"/>
      <protection/>
    </xf>
    <xf numFmtId="171" fontId="30" fillId="0" borderId="10" xfId="50" applyNumberFormat="1" applyFont="1" applyFill="1" applyBorder="1" applyAlignment="1">
      <alignment vertical="center"/>
      <protection/>
    </xf>
    <xf numFmtId="0" fontId="26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4" fillId="0" borderId="26" xfId="50" applyFont="1" applyFill="1" applyBorder="1" applyAlignment="1">
      <alignment horizontal="center" vertical="center"/>
      <protection/>
    </xf>
    <xf numFmtId="0" fontId="4" fillId="0" borderId="57" xfId="50" applyFont="1" applyFill="1" applyBorder="1" applyAlignment="1">
      <alignment horizontal="center" vertical="center"/>
      <protection/>
    </xf>
    <xf numFmtId="2" fontId="4" fillId="0" borderId="29" xfId="50" applyNumberFormat="1" applyFont="1" applyFill="1" applyBorder="1" applyAlignment="1">
      <alignment horizontal="center" vertical="center"/>
      <protection/>
    </xf>
    <xf numFmtId="2" fontId="4" fillId="0" borderId="50" xfId="50" applyNumberFormat="1" applyFont="1" applyFill="1" applyBorder="1" applyAlignment="1">
      <alignment horizontal="center" vertical="center"/>
      <protection/>
    </xf>
    <xf numFmtId="0" fontId="4" fillId="0" borderId="27" xfId="50" applyFont="1" applyFill="1" applyBorder="1" applyAlignment="1">
      <alignment horizontal="center" vertical="center"/>
      <protection/>
    </xf>
    <xf numFmtId="0" fontId="4" fillId="0" borderId="25" xfId="50" applyFont="1" applyFill="1" applyBorder="1" applyAlignment="1">
      <alignment horizontal="center" vertical="center"/>
      <protection/>
    </xf>
    <xf numFmtId="0" fontId="1" fillId="0" borderId="58" xfId="50" applyFont="1" applyBorder="1" applyAlignment="1">
      <alignment horizontal="center" vertical="center" textRotation="90" wrapText="1"/>
      <protection/>
    </xf>
    <xf numFmtId="0" fontId="1" fillId="0" borderId="13" xfId="50" applyFont="1" applyBorder="1" applyAlignment="1">
      <alignment horizontal="center" vertical="center" textRotation="90" wrapText="1"/>
      <protection/>
    </xf>
    <xf numFmtId="0" fontId="1" fillId="0" borderId="12" xfId="50" applyFont="1" applyBorder="1" applyAlignment="1">
      <alignment horizontal="center" vertical="center" textRotation="90" wrapText="1"/>
      <protection/>
    </xf>
    <xf numFmtId="0" fontId="4" fillId="0" borderId="58" xfId="50" applyFont="1" applyFill="1" applyBorder="1" applyAlignment="1">
      <alignment horizontal="center" vertical="center"/>
      <protection/>
    </xf>
    <xf numFmtId="0" fontId="4" fillId="0" borderId="12" xfId="50" applyFont="1" applyFill="1" applyBorder="1" applyAlignment="1">
      <alignment horizontal="center" vertical="center"/>
      <protection/>
    </xf>
    <xf numFmtId="2" fontId="4" fillId="0" borderId="59" xfId="50" applyNumberFormat="1" applyFont="1" applyBorder="1" applyAlignment="1">
      <alignment horizontal="center" vertical="center"/>
      <protection/>
    </xf>
    <xf numFmtId="2" fontId="4" fillId="0" borderId="60" xfId="50" applyNumberFormat="1" applyFont="1" applyBorder="1" applyAlignment="1">
      <alignment horizontal="center" vertical="center"/>
      <protection/>
    </xf>
    <xf numFmtId="2" fontId="4" fillId="0" borderId="38" xfId="50" applyNumberFormat="1" applyFont="1" applyBorder="1" applyAlignment="1">
      <alignment horizontal="center" vertical="center"/>
      <protection/>
    </xf>
    <xf numFmtId="2" fontId="4" fillId="0" borderId="28" xfId="50" applyNumberFormat="1" applyFont="1" applyBorder="1" applyAlignment="1">
      <alignment horizontal="center" vertical="center"/>
      <protection/>
    </xf>
    <xf numFmtId="2" fontId="4" fillId="0" borderId="16" xfId="50" applyNumberFormat="1" applyFont="1" applyBorder="1" applyAlignment="1">
      <alignment horizontal="center" vertical="center"/>
      <protection/>
    </xf>
    <xf numFmtId="2" fontId="4" fillId="0" borderId="28" xfId="50" applyNumberFormat="1" applyFont="1" applyFill="1" applyBorder="1" applyAlignment="1">
      <alignment horizontal="center" vertical="center"/>
      <protection/>
    </xf>
    <xf numFmtId="2" fontId="4" fillId="0" borderId="16" xfId="50" applyNumberFormat="1" applyFont="1" applyFill="1" applyBorder="1" applyAlignment="1">
      <alignment horizontal="center" vertical="center"/>
      <protection/>
    </xf>
  </cellXfs>
  <cellStyles count="5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2. čtení rozpočtu 2006 - příjmy" xfId="48"/>
    <cellStyle name="normální_Kapitola 924" xfId="49"/>
    <cellStyle name="normální_Rozpis výdajů 03 bez PO 2" xfId="50"/>
    <cellStyle name="normální_Rozpis výdajů 03 bez PO 2 2" xfId="51"/>
    <cellStyle name="Followed Hyperlink" xfId="52"/>
    <cellStyle name="Poznámka" xfId="53"/>
    <cellStyle name="Percent" xfId="54"/>
    <cellStyle name="Propojená buňka" xfId="55"/>
    <cellStyle name="Správně" xfId="56"/>
    <cellStyle name="Text upozornění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372"/>
  <sheetViews>
    <sheetView tabSelected="1" zoomScalePageLayoutView="0" workbookViewId="0" topLeftCell="A1">
      <pane xSplit="1" ySplit="7" topLeftCell="B43" activePane="bottomRight" state="frozen"/>
      <selection pane="topLeft" activeCell="A1" sqref="A1"/>
      <selection pane="topRight" activeCell="B1" sqref="B1"/>
      <selection pane="bottomLeft" activeCell="A8" sqref="A8"/>
      <selection pane="bottomRight" activeCell="G49" sqref="G49"/>
    </sheetView>
  </sheetViews>
  <sheetFormatPr defaultColWidth="9.140625" defaultRowHeight="12.75"/>
  <cols>
    <col min="1" max="1" width="3.8515625" style="8" customWidth="1"/>
    <col min="2" max="2" width="3.421875" style="8" bestFit="1" customWidth="1"/>
    <col min="3" max="3" width="10.00390625" style="8" bestFit="1" customWidth="1"/>
    <col min="4" max="4" width="5.57421875" style="136" customWidth="1"/>
    <col min="5" max="5" width="5.7109375" style="136" customWidth="1"/>
    <col min="6" max="6" width="40.00390625" style="136" customWidth="1"/>
    <col min="7" max="7" width="8.421875" style="136" customWidth="1"/>
    <col min="8" max="8" width="8.140625" style="136" customWidth="1"/>
    <col min="9" max="9" width="9.8515625" style="136" customWidth="1"/>
    <col min="10" max="10" width="10.00390625" style="136" customWidth="1"/>
    <col min="11" max="16384" width="9.140625" style="8" customWidth="1"/>
  </cols>
  <sheetData>
    <row r="1" spans="1:10" ht="18">
      <c r="A1" s="147" t="s">
        <v>18</v>
      </c>
      <c r="B1" s="147"/>
      <c r="C1" s="147"/>
      <c r="D1" s="147"/>
      <c r="E1" s="147"/>
      <c r="F1" s="147"/>
      <c r="G1" s="147"/>
      <c r="H1" s="147"/>
      <c r="I1" s="147"/>
      <c r="J1" s="147"/>
    </row>
    <row r="2" spans="1:10" ht="12.75">
      <c r="A2" s="9"/>
      <c r="B2" s="9"/>
      <c r="C2" s="9"/>
      <c r="D2" s="26"/>
      <c r="E2" s="26"/>
      <c r="F2" s="26"/>
      <c r="G2" s="26"/>
      <c r="H2" s="26"/>
      <c r="I2" s="27"/>
      <c r="J2" s="27"/>
    </row>
    <row r="3" spans="1:10" ht="15.75">
      <c r="A3" s="148" t="s">
        <v>19</v>
      </c>
      <c r="B3" s="148"/>
      <c r="C3" s="148"/>
      <c r="D3" s="148"/>
      <c r="E3" s="148"/>
      <c r="F3" s="148"/>
      <c r="G3" s="148"/>
      <c r="H3" s="148"/>
      <c r="I3" s="148"/>
      <c r="J3" s="148"/>
    </row>
    <row r="4" spans="1:10" ht="13.5" thickBot="1">
      <c r="A4" s="10"/>
      <c r="B4" s="10"/>
      <c r="C4" s="10"/>
      <c r="D4" s="28"/>
      <c r="E4" s="28"/>
      <c r="F4" s="28"/>
      <c r="G4" s="28"/>
      <c r="H4" s="28"/>
      <c r="I4" s="28"/>
      <c r="J4" s="29" t="s">
        <v>10</v>
      </c>
    </row>
    <row r="5" spans="1:10" ht="12.75" customHeight="1" thickBot="1">
      <c r="A5" s="160" t="s">
        <v>20</v>
      </c>
      <c r="B5" s="160" t="s">
        <v>1</v>
      </c>
      <c r="C5" s="163" t="s">
        <v>3</v>
      </c>
      <c r="D5" s="165" t="s">
        <v>4</v>
      </c>
      <c r="E5" s="165" t="s">
        <v>5</v>
      </c>
      <c r="F5" s="151" t="s">
        <v>21</v>
      </c>
      <c r="G5" s="153" t="s">
        <v>15</v>
      </c>
      <c r="H5" s="158" t="s">
        <v>16</v>
      </c>
      <c r="I5" s="149" t="s">
        <v>236</v>
      </c>
      <c r="J5" s="150"/>
    </row>
    <row r="6" spans="1:10" ht="12.75" customHeight="1" thickBot="1">
      <c r="A6" s="161"/>
      <c r="B6" s="162"/>
      <c r="C6" s="164"/>
      <c r="D6" s="166"/>
      <c r="E6" s="166"/>
      <c r="F6" s="152"/>
      <c r="G6" s="154"/>
      <c r="H6" s="159"/>
      <c r="I6" s="30" t="s">
        <v>6</v>
      </c>
      <c r="J6" s="31" t="s">
        <v>17</v>
      </c>
    </row>
    <row r="7" spans="1:10" ht="12.75" customHeight="1" thickBot="1">
      <c r="A7" s="32">
        <v>920</v>
      </c>
      <c r="B7" s="33" t="s">
        <v>2</v>
      </c>
      <c r="C7" s="34" t="s">
        <v>3</v>
      </c>
      <c r="D7" s="35" t="s">
        <v>4</v>
      </c>
      <c r="E7" s="35" t="s">
        <v>5</v>
      </c>
      <c r="F7" s="36" t="s">
        <v>22</v>
      </c>
      <c r="G7" s="37">
        <f>G8+G10+G12+G14+G16+G18+G21+G24+G26+G29+G31+G33+G35+G37+G39+G41+G43+G370</f>
        <v>125605</v>
      </c>
      <c r="H7" s="37">
        <f>H8+H10+H12+H14+H16+H18+H21+H24+H26+H29+H31+H33+H35+H37+H39+H41+H43+H370</f>
        <v>549188.2756399999</v>
      </c>
      <c r="I7" s="37">
        <f>I8+I10+I12+I14+I16+I18+I21+I24+I26+I29+I31+I33+I35+I37+I39+I41+I43+I370</f>
        <v>-6.394884621840902E-14</v>
      </c>
      <c r="J7" s="1">
        <f>J8+J10+J12+J14+J16+J18+J21+J24+J26+J29+J31+J33+J35+J37+J39+J41+J43+J370</f>
        <v>549188.27564</v>
      </c>
    </row>
    <row r="8" spans="1:10" ht="12" customHeight="1">
      <c r="A8" s="155" t="s">
        <v>8</v>
      </c>
      <c r="B8" s="38" t="s">
        <v>2</v>
      </c>
      <c r="C8" s="39" t="s">
        <v>23</v>
      </c>
      <c r="D8" s="40" t="s">
        <v>0</v>
      </c>
      <c r="E8" s="40" t="s">
        <v>0</v>
      </c>
      <c r="F8" s="41" t="s">
        <v>24</v>
      </c>
      <c r="G8" s="42">
        <f>SUM(G9:G9)</f>
        <v>500</v>
      </c>
      <c r="H8" s="43">
        <f>SUM(H9:H9)</f>
        <v>7500</v>
      </c>
      <c r="I8" s="43">
        <f>SUM(I9:I9)</f>
        <v>0</v>
      </c>
      <c r="J8" s="42">
        <f>SUM(J9:J9)</f>
        <v>7500</v>
      </c>
    </row>
    <row r="9" spans="1:10" ht="12" customHeight="1" thickBot="1">
      <c r="A9" s="156"/>
      <c r="B9" s="44"/>
      <c r="C9" s="45"/>
      <c r="D9" s="46">
        <v>2212</v>
      </c>
      <c r="E9" s="46">
        <v>6130</v>
      </c>
      <c r="F9" s="47" t="s">
        <v>25</v>
      </c>
      <c r="G9" s="2">
        <v>500</v>
      </c>
      <c r="H9" s="48">
        <f>500+7000</f>
        <v>7500</v>
      </c>
      <c r="I9" s="48"/>
      <c r="J9" s="2">
        <f>H9+I9</f>
        <v>7500</v>
      </c>
    </row>
    <row r="10" spans="1:10" ht="22.5">
      <c r="A10" s="156"/>
      <c r="B10" s="49" t="s">
        <v>2</v>
      </c>
      <c r="C10" s="50" t="s">
        <v>235</v>
      </c>
      <c r="D10" s="51" t="s">
        <v>0</v>
      </c>
      <c r="E10" s="51" t="s">
        <v>0</v>
      </c>
      <c r="F10" s="137" t="s">
        <v>234</v>
      </c>
      <c r="G10" s="43">
        <f>G11</f>
        <v>0</v>
      </c>
      <c r="H10" s="43">
        <f>SUM(H11:H11)</f>
        <v>0</v>
      </c>
      <c r="I10" s="43">
        <f>SUM(I11:I11)</f>
        <v>0</v>
      </c>
      <c r="J10" s="42">
        <f>J11</f>
        <v>0</v>
      </c>
    </row>
    <row r="11" spans="1:10" ht="12" customHeight="1" thickBot="1">
      <c r="A11" s="156"/>
      <c r="B11" s="53"/>
      <c r="C11" s="54"/>
      <c r="D11" s="55">
        <v>2212</v>
      </c>
      <c r="E11" s="56">
        <v>5171</v>
      </c>
      <c r="F11" s="57" t="s">
        <v>28</v>
      </c>
      <c r="G11" s="58">
        <v>0</v>
      </c>
      <c r="H11" s="5">
        <v>0</v>
      </c>
      <c r="I11" s="5"/>
      <c r="J11" s="2">
        <f>H11+I11</f>
        <v>0</v>
      </c>
    </row>
    <row r="12" spans="1:10" ht="12" customHeight="1">
      <c r="A12" s="156"/>
      <c r="B12" s="49" t="s">
        <v>2</v>
      </c>
      <c r="C12" s="50" t="s">
        <v>26</v>
      </c>
      <c r="D12" s="51" t="s">
        <v>0</v>
      </c>
      <c r="E12" s="51" t="s">
        <v>0</v>
      </c>
      <c r="F12" s="52" t="s">
        <v>27</v>
      </c>
      <c r="G12" s="43">
        <f>G13</f>
        <v>0</v>
      </c>
      <c r="H12" s="43">
        <f>SUM(H13:H13)</f>
        <v>60</v>
      </c>
      <c r="I12" s="43">
        <f>SUM(I13:I13)</f>
        <v>0</v>
      </c>
      <c r="J12" s="42">
        <f>J13</f>
        <v>60</v>
      </c>
    </row>
    <row r="13" spans="1:10" ht="12" customHeight="1" thickBot="1">
      <c r="A13" s="156"/>
      <c r="B13" s="53"/>
      <c r="C13" s="54"/>
      <c r="D13" s="55">
        <v>2212</v>
      </c>
      <c r="E13" s="56">
        <v>6121</v>
      </c>
      <c r="F13" s="57" t="s">
        <v>28</v>
      </c>
      <c r="G13" s="58">
        <v>0</v>
      </c>
      <c r="H13" s="5">
        <v>60</v>
      </c>
      <c r="I13" s="5"/>
      <c r="J13" s="2">
        <f>H13+I13</f>
        <v>60</v>
      </c>
    </row>
    <row r="14" spans="1:10" ht="12" customHeight="1">
      <c r="A14" s="156"/>
      <c r="B14" s="49" t="s">
        <v>2</v>
      </c>
      <c r="C14" s="59" t="s">
        <v>29</v>
      </c>
      <c r="D14" s="51" t="s">
        <v>0</v>
      </c>
      <c r="E14" s="51" t="s">
        <v>0</v>
      </c>
      <c r="F14" s="60" t="s">
        <v>30</v>
      </c>
      <c r="G14" s="43">
        <f>G15</f>
        <v>0</v>
      </c>
      <c r="H14" s="43">
        <f>H15</f>
        <v>43.2</v>
      </c>
      <c r="I14" s="43">
        <f>SUM(I15:I15)</f>
        <v>0</v>
      </c>
      <c r="J14" s="42">
        <f>J15</f>
        <v>43.2</v>
      </c>
    </row>
    <row r="15" spans="1:10" ht="12" customHeight="1" thickBot="1">
      <c r="A15" s="156"/>
      <c r="B15" s="53"/>
      <c r="C15" s="54"/>
      <c r="D15" s="55">
        <v>2212</v>
      </c>
      <c r="E15" s="46">
        <v>6119</v>
      </c>
      <c r="F15" s="61" t="s">
        <v>31</v>
      </c>
      <c r="G15" s="58">
        <v>0</v>
      </c>
      <c r="H15" s="58">
        <v>43.2</v>
      </c>
      <c r="I15" s="5"/>
      <c r="J15" s="2">
        <f>H15+I15</f>
        <v>43.2</v>
      </c>
    </row>
    <row r="16" spans="1:10" ht="12" customHeight="1">
      <c r="A16" s="156"/>
      <c r="B16" s="49" t="s">
        <v>2</v>
      </c>
      <c r="C16" s="59" t="s">
        <v>32</v>
      </c>
      <c r="D16" s="51" t="s">
        <v>0</v>
      </c>
      <c r="E16" s="51" t="s">
        <v>0</v>
      </c>
      <c r="F16" s="60" t="s">
        <v>33</v>
      </c>
      <c r="G16" s="43">
        <f>G17</f>
        <v>0</v>
      </c>
      <c r="H16" s="43">
        <f>H17</f>
        <v>39.97973999999999</v>
      </c>
      <c r="I16" s="43">
        <f>SUM(I17:I17)</f>
        <v>0</v>
      </c>
      <c r="J16" s="42">
        <f>J17</f>
        <v>39.97973999999999</v>
      </c>
    </row>
    <row r="17" spans="1:10" ht="12" customHeight="1" thickBot="1">
      <c r="A17" s="156"/>
      <c r="B17" s="53"/>
      <c r="C17" s="54"/>
      <c r="D17" s="55">
        <v>2212</v>
      </c>
      <c r="E17" s="46">
        <v>6121</v>
      </c>
      <c r="F17" s="62" t="s">
        <v>28</v>
      </c>
      <c r="G17" s="58">
        <v>0</v>
      </c>
      <c r="H17" s="63">
        <f>92.64974-50.5-2.17</f>
        <v>39.97973999999999</v>
      </c>
      <c r="I17" s="5"/>
      <c r="J17" s="2">
        <f>H17+I17</f>
        <v>39.97973999999999</v>
      </c>
    </row>
    <row r="18" spans="1:10" ht="12" customHeight="1">
      <c r="A18" s="156"/>
      <c r="B18" s="64" t="s">
        <v>2</v>
      </c>
      <c r="C18" s="59" t="s">
        <v>34</v>
      </c>
      <c r="D18" s="65" t="s">
        <v>0</v>
      </c>
      <c r="E18" s="65" t="s">
        <v>0</v>
      </c>
      <c r="F18" s="66" t="s">
        <v>35</v>
      </c>
      <c r="G18" s="42">
        <f>SUM(G19:G20)</f>
        <v>0</v>
      </c>
      <c r="H18" s="11">
        <f>SUM(H19:H20)</f>
        <v>38914.58899999999</v>
      </c>
      <c r="I18" s="11">
        <f>SUM(I19:I20)</f>
        <v>0</v>
      </c>
      <c r="J18" s="11">
        <f>SUM(J19:J20)</f>
        <v>38914.58899999999</v>
      </c>
    </row>
    <row r="19" spans="1:10" ht="12" customHeight="1">
      <c r="A19" s="156"/>
      <c r="B19" s="67"/>
      <c r="C19" s="68"/>
      <c r="D19" s="56">
        <v>2212</v>
      </c>
      <c r="E19" s="56">
        <v>6121</v>
      </c>
      <c r="F19" s="57" t="s">
        <v>28</v>
      </c>
      <c r="G19" s="5">
        <v>0</v>
      </c>
      <c r="H19" s="5">
        <v>26345.38</v>
      </c>
      <c r="I19" s="5"/>
      <c r="J19" s="5">
        <f>H19+I19</f>
        <v>26345.38</v>
      </c>
    </row>
    <row r="20" spans="1:10" ht="12" customHeight="1" thickBot="1">
      <c r="A20" s="156"/>
      <c r="B20" s="69"/>
      <c r="C20" s="70" t="s">
        <v>36</v>
      </c>
      <c r="D20" s="55">
        <v>2212</v>
      </c>
      <c r="E20" s="7">
        <v>6121</v>
      </c>
      <c r="F20" s="71" t="s">
        <v>37</v>
      </c>
      <c r="G20" s="58">
        <v>0</v>
      </c>
      <c r="H20" s="58">
        <f>48122.829-35553.62</f>
        <v>12569.208999999995</v>
      </c>
      <c r="I20" s="72"/>
      <c r="J20" s="6">
        <f>H20+I20</f>
        <v>12569.208999999995</v>
      </c>
    </row>
    <row r="21" spans="1:10" ht="12" customHeight="1">
      <c r="A21" s="156"/>
      <c r="B21" s="64" t="s">
        <v>2</v>
      </c>
      <c r="C21" s="59" t="s">
        <v>38</v>
      </c>
      <c r="D21" s="65" t="s">
        <v>0</v>
      </c>
      <c r="E21" s="65" t="s">
        <v>0</v>
      </c>
      <c r="F21" s="73" t="s">
        <v>39</v>
      </c>
      <c r="G21" s="42">
        <f>SUM(G22:G23)</f>
        <v>14090</v>
      </c>
      <c r="H21" s="11">
        <f>SUM(H22:H23)</f>
        <v>98096.338</v>
      </c>
      <c r="I21" s="11">
        <f>SUM(I22:I23)</f>
        <v>0</v>
      </c>
      <c r="J21" s="11">
        <f>SUM(J22:J23)</f>
        <v>98096.338</v>
      </c>
    </row>
    <row r="22" spans="1:10" ht="12" customHeight="1">
      <c r="A22" s="156"/>
      <c r="B22" s="67"/>
      <c r="C22" s="68"/>
      <c r="D22" s="56">
        <v>2212</v>
      </c>
      <c r="E22" s="56">
        <v>6121</v>
      </c>
      <c r="F22" s="57" t="s">
        <v>28</v>
      </c>
      <c r="G22" s="5">
        <v>14090</v>
      </c>
      <c r="H22" s="5">
        <f>14090+75470.03</f>
        <v>89560.03</v>
      </c>
      <c r="I22" s="5"/>
      <c r="J22" s="5">
        <f>H22+I22</f>
        <v>89560.03</v>
      </c>
    </row>
    <row r="23" spans="1:10" ht="12" customHeight="1" thickBot="1">
      <c r="A23" s="156"/>
      <c r="B23" s="69"/>
      <c r="C23" s="70" t="s">
        <v>36</v>
      </c>
      <c r="D23" s="55">
        <v>2212</v>
      </c>
      <c r="E23" s="7">
        <v>6121</v>
      </c>
      <c r="F23" s="71" t="s">
        <v>37</v>
      </c>
      <c r="G23" s="58">
        <v>0</v>
      </c>
      <c r="H23" s="58">
        <f>92309.827-83773.519</f>
        <v>8536.308000000005</v>
      </c>
      <c r="I23" s="72"/>
      <c r="J23" s="6">
        <f>H23+I23</f>
        <v>8536.308000000005</v>
      </c>
    </row>
    <row r="24" spans="1:10" ht="24.75" customHeight="1">
      <c r="A24" s="156"/>
      <c r="B24" s="64" t="s">
        <v>2</v>
      </c>
      <c r="C24" s="59" t="s">
        <v>40</v>
      </c>
      <c r="D24" s="65" t="s">
        <v>0</v>
      </c>
      <c r="E24" s="65" t="s">
        <v>0</v>
      </c>
      <c r="F24" s="60" t="s">
        <v>41</v>
      </c>
      <c r="G24" s="43">
        <f>SUM(G25:G25)</f>
        <v>36310</v>
      </c>
      <c r="H24" s="43">
        <f>SUM(H25:H25)</f>
        <v>69775.03</v>
      </c>
      <c r="I24" s="43">
        <f>SUM(I25:I25)</f>
        <v>0</v>
      </c>
      <c r="J24" s="42">
        <f>J25</f>
        <v>69775.03</v>
      </c>
    </row>
    <row r="25" spans="1:10" ht="12" customHeight="1" thickBot="1">
      <c r="A25" s="156"/>
      <c r="B25" s="67"/>
      <c r="C25" s="74"/>
      <c r="D25" s="56">
        <v>2212</v>
      </c>
      <c r="E25" s="56">
        <v>6121</v>
      </c>
      <c r="F25" s="57" t="s">
        <v>28</v>
      </c>
      <c r="G25" s="5">
        <v>36310</v>
      </c>
      <c r="H25" s="5">
        <f>36310+33465.03</f>
        <v>69775.03</v>
      </c>
      <c r="I25" s="5"/>
      <c r="J25" s="2">
        <f>H25+I25</f>
        <v>69775.03</v>
      </c>
    </row>
    <row r="26" spans="1:10" ht="24.75" customHeight="1">
      <c r="A26" s="156"/>
      <c r="B26" s="64" t="s">
        <v>2</v>
      </c>
      <c r="C26" s="59" t="s">
        <v>42</v>
      </c>
      <c r="D26" s="65" t="s">
        <v>0</v>
      </c>
      <c r="E26" s="65" t="s">
        <v>0</v>
      </c>
      <c r="F26" s="60" t="s">
        <v>43</v>
      </c>
      <c r="G26" s="42">
        <f>SUM(G27:G28)</f>
        <v>17205</v>
      </c>
      <c r="H26" s="11">
        <f>SUM(H27:H28)</f>
        <v>95864.098</v>
      </c>
      <c r="I26" s="11">
        <f>SUM(I27:I28)</f>
        <v>0</v>
      </c>
      <c r="J26" s="11">
        <f>SUM(J27:J28)</f>
        <v>95864.098</v>
      </c>
    </row>
    <row r="27" spans="1:10" ht="12" customHeight="1">
      <c r="A27" s="156"/>
      <c r="B27" s="67"/>
      <c r="C27" s="75"/>
      <c r="D27" s="56">
        <v>2212</v>
      </c>
      <c r="E27" s="56">
        <v>6121</v>
      </c>
      <c r="F27" s="57" t="s">
        <v>28</v>
      </c>
      <c r="G27" s="5">
        <v>17205</v>
      </c>
      <c r="H27" s="5">
        <f>17205+23200.04</f>
        <v>40405.04</v>
      </c>
      <c r="I27" s="5"/>
      <c r="J27" s="5">
        <f>H27+I27</f>
        <v>40405.04</v>
      </c>
    </row>
    <row r="28" spans="1:10" ht="12" customHeight="1" thickBot="1">
      <c r="A28" s="156"/>
      <c r="B28" s="69"/>
      <c r="C28" s="70" t="s">
        <v>36</v>
      </c>
      <c r="D28" s="55">
        <v>2212</v>
      </c>
      <c r="E28" s="7">
        <v>6121</v>
      </c>
      <c r="F28" s="71" t="s">
        <v>37</v>
      </c>
      <c r="G28" s="58">
        <v>0</v>
      </c>
      <c r="H28" s="58">
        <f>80090.632-24631.574</f>
        <v>55459.058</v>
      </c>
      <c r="I28" s="72"/>
      <c r="J28" s="6">
        <f>H28+I28</f>
        <v>55459.058</v>
      </c>
    </row>
    <row r="29" spans="1:10" ht="24.75" customHeight="1">
      <c r="A29" s="156"/>
      <c r="B29" s="76" t="s">
        <v>2</v>
      </c>
      <c r="C29" s="59" t="s">
        <v>44</v>
      </c>
      <c r="D29" s="51" t="s">
        <v>0</v>
      </c>
      <c r="E29" s="51" t="s">
        <v>0</v>
      </c>
      <c r="F29" s="60" t="s">
        <v>45</v>
      </c>
      <c r="G29" s="42">
        <f>SUM(G30:G30)</f>
        <v>0</v>
      </c>
      <c r="H29" s="42">
        <f>SUM(H30:H30)</f>
        <v>605</v>
      </c>
      <c r="I29" s="43">
        <f>SUM(I30:I30)</f>
        <v>0</v>
      </c>
      <c r="J29" s="42">
        <f>J30</f>
        <v>605</v>
      </c>
    </row>
    <row r="30" spans="1:10" ht="12" customHeight="1" thickBot="1">
      <c r="A30" s="156"/>
      <c r="B30" s="77"/>
      <c r="C30" s="74"/>
      <c r="D30" s="55">
        <v>2242</v>
      </c>
      <c r="E30" s="46">
        <v>6119</v>
      </c>
      <c r="F30" s="61" t="s">
        <v>31</v>
      </c>
      <c r="G30" s="2">
        <v>0</v>
      </c>
      <c r="H30" s="2">
        <v>605</v>
      </c>
      <c r="I30" s="48"/>
      <c r="J30" s="2">
        <f>H30+I30</f>
        <v>605</v>
      </c>
    </row>
    <row r="31" spans="1:10" ht="12" customHeight="1">
      <c r="A31" s="156"/>
      <c r="B31" s="76" t="s">
        <v>2</v>
      </c>
      <c r="C31" s="59" t="s">
        <v>46</v>
      </c>
      <c r="D31" s="51" t="s">
        <v>0</v>
      </c>
      <c r="E31" s="51" t="s">
        <v>0</v>
      </c>
      <c r="F31" s="60" t="s">
        <v>47</v>
      </c>
      <c r="G31" s="42">
        <f>SUM(G32:G32)</f>
        <v>22000</v>
      </c>
      <c r="H31" s="42">
        <f>SUM(H32:H32)</f>
        <v>18859.2604</v>
      </c>
      <c r="I31" s="43">
        <f>SUM(I32:I32)</f>
        <v>0</v>
      </c>
      <c r="J31" s="42">
        <f>J32</f>
        <v>18859.2604</v>
      </c>
    </row>
    <row r="32" spans="1:10" ht="12" customHeight="1" thickBot="1">
      <c r="A32" s="156"/>
      <c r="B32" s="77"/>
      <c r="C32" s="74" t="s">
        <v>48</v>
      </c>
      <c r="D32" s="55">
        <v>2212</v>
      </c>
      <c r="E32" s="46">
        <v>6342</v>
      </c>
      <c r="F32" s="78" t="s">
        <v>49</v>
      </c>
      <c r="G32" s="2">
        <v>22000</v>
      </c>
      <c r="H32" s="2">
        <f>22000+3859.2604-7000</f>
        <v>18859.2604</v>
      </c>
      <c r="I32" s="48"/>
      <c r="J32" s="2">
        <f>H32+I32</f>
        <v>18859.2604</v>
      </c>
    </row>
    <row r="33" spans="1:10" ht="24.75" customHeight="1">
      <c r="A33" s="156"/>
      <c r="B33" s="64" t="s">
        <v>2</v>
      </c>
      <c r="C33" s="59" t="s">
        <v>50</v>
      </c>
      <c r="D33" s="65" t="s">
        <v>0</v>
      </c>
      <c r="E33" s="65" t="s">
        <v>0</v>
      </c>
      <c r="F33" s="60" t="s">
        <v>51</v>
      </c>
      <c r="G33" s="43">
        <f>SUM(G34:G34)</f>
        <v>4500</v>
      </c>
      <c r="H33" s="43">
        <f>SUM(H34:H34)</f>
        <v>4156.19</v>
      </c>
      <c r="I33" s="43">
        <f>SUM(I34:I34)</f>
        <v>0</v>
      </c>
      <c r="J33" s="42">
        <f>J34</f>
        <v>4156.19</v>
      </c>
    </row>
    <row r="34" spans="1:10" ht="12" customHeight="1" thickBot="1">
      <c r="A34" s="156"/>
      <c r="B34" s="79"/>
      <c r="C34" s="74"/>
      <c r="D34" s="55">
        <v>2212</v>
      </c>
      <c r="E34" s="46">
        <v>6121</v>
      </c>
      <c r="F34" s="57" t="s">
        <v>28</v>
      </c>
      <c r="G34" s="2">
        <v>4500</v>
      </c>
      <c r="H34" s="2">
        <f>4500-283.81-60</f>
        <v>4156.19</v>
      </c>
      <c r="I34" s="2"/>
      <c r="J34" s="2">
        <f>H34+I34</f>
        <v>4156.19</v>
      </c>
    </row>
    <row r="35" spans="1:10" ht="12" customHeight="1">
      <c r="A35" s="156"/>
      <c r="B35" s="64" t="s">
        <v>2</v>
      </c>
      <c r="C35" s="59" t="s">
        <v>52</v>
      </c>
      <c r="D35" s="65" t="s">
        <v>0</v>
      </c>
      <c r="E35" s="65" t="s">
        <v>0</v>
      </c>
      <c r="F35" s="66" t="s">
        <v>53</v>
      </c>
      <c r="G35" s="43">
        <f>SUM(G36:G36)</f>
        <v>9150</v>
      </c>
      <c r="H35" s="43">
        <f>SUM(H36:H36)</f>
        <v>16749.337</v>
      </c>
      <c r="I35" s="43">
        <f>SUM(I36:I36)</f>
        <v>0</v>
      </c>
      <c r="J35" s="42">
        <f>J36</f>
        <v>16749.337</v>
      </c>
    </row>
    <row r="36" spans="1:10" ht="12" customHeight="1" thickBot="1">
      <c r="A36" s="156"/>
      <c r="B36" s="79"/>
      <c r="C36" s="74"/>
      <c r="D36" s="55">
        <v>2212</v>
      </c>
      <c r="E36" s="46">
        <v>6121</v>
      </c>
      <c r="F36" s="57" t="s">
        <v>28</v>
      </c>
      <c r="G36" s="2">
        <v>9150</v>
      </c>
      <c r="H36" s="2">
        <f>9150+599.337+7000</f>
        <v>16749.337</v>
      </c>
      <c r="I36" s="2"/>
      <c r="J36" s="2">
        <f>H36+I36</f>
        <v>16749.337</v>
      </c>
    </row>
    <row r="37" spans="1:10" ht="12" customHeight="1">
      <c r="A37" s="156"/>
      <c r="B37" s="64" t="s">
        <v>2</v>
      </c>
      <c r="C37" s="59" t="s">
        <v>54</v>
      </c>
      <c r="D37" s="65" t="s">
        <v>0</v>
      </c>
      <c r="E37" s="65" t="s">
        <v>0</v>
      </c>
      <c r="F37" s="66" t="s">
        <v>55</v>
      </c>
      <c r="G37" s="43">
        <f>SUM(G38:G38)</f>
        <v>6400</v>
      </c>
      <c r="H37" s="43">
        <f>SUM(H38:H38)</f>
        <v>6950.55</v>
      </c>
      <c r="I37" s="43">
        <f>SUM(I38:I38)</f>
        <v>0</v>
      </c>
      <c r="J37" s="42">
        <f>J38</f>
        <v>6950.55</v>
      </c>
    </row>
    <row r="38" spans="1:10" ht="12" customHeight="1" thickBot="1">
      <c r="A38" s="156"/>
      <c r="B38" s="79"/>
      <c r="C38" s="74"/>
      <c r="D38" s="55">
        <v>2212</v>
      </c>
      <c r="E38" s="46">
        <v>6121</v>
      </c>
      <c r="F38" s="57" t="s">
        <v>28</v>
      </c>
      <c r="G38" s="2">
        <v>6400</v>
      </c>
      <c r="H38" s="2">
        <f>6400+550.55</f>
        <v>6950.55</v>
      </c>
      <c r="I38" s="2"/>
      <c r="J38" s="2">
        <f>H38+I38</f>
        <v>6950.55</v>
      </c>
    </row>
    <row r="39" spans="1:10" ht="12" customHeight="1">
      <c r="A39" s="156"/>
      <c r="B39" s="64" t="s">
        <v>2</v>
      </c>
      <c r="C39" s="59" t="s">
        <v>56</v>
      </c>
      <c r="D39" s="65" t="s">
        <v>0</v>
      </c>
      <c r="E39" s="65" t="s">
        <v>0</v>
      </c>
      <c r="F39" s="66" t="s">
        <v>57</v>
      </c>
      <c r="G39" s="43">
        <f>SUM(G40:G40)</f>
        <v>15450</v>
      </c>
      <c r="H39" s="43">
        <f>SUM(H40:H40)</f>
        <v>15793.882</v>
      </c>
      <c r="I39" s="43">
        <f>SUM(I40:I40)</f>
        <v>0</v>
      </c>
      <c r="J39" s="42">
        <f>J40</f>
        <v>15793.882</v>
      </c>
    </row>
    <row r="40" spans="1:10" ht="12" customHeight="1" thickBot="1">
      <c r="A40" s="156"/>
      <c r="B40" s="79"/>
      <c r="C40" s="74"/>
      <c r="D40" s="55">
        <v>2212</v>
      </c>
      <c r="E40" s="46">
        <v>6121</v>
      </c>
      <c r="F40" s="57" t="s">
        <v>28</v>
      </c>
      <c r="G40" s="2">
        <v>15450</v>
      </c>
      <c r="H40" s="2">
        <f>15450+343.882</f>
        <v>15793.882</v>
      </c>
      <c r="I40" s="2"/>
      <c r="J40" s="2">
        <f>H40+I40</f>
        <v>15793.882</v>
      </c>
    </row>
    <row r="41" spans="1:10" ht="24.75" customHeight="1">
      <c r="A41" s="156"/>
      <c r="B41" s="64" t="s">
        <v>2</v>
      </c>
      <c r="C41" s="59" t="s">
        <v>58</v>
      </c>
      <c r="D41" s="65" t="s">
        <v>0</v>
      </c>
      <c r="E41" s="65" t="s">
        <v>0</v>
      </c>
      <c r="F41" s="80" t="s">
        <v>59</v>
      </c>
      <c r="G41" s="43">
        <f>SUM(G42:G42)</f>
        <v>0</v>
      </c>
      <c r="H41" s="43">
        <f>SUM(H42:H42)</f>
        <v>2407.1</v>
      </c>
      <c r="I41" s="43">
        <f>SUM(I42:I42)</f>
        <v>0</v>
      </c>
      <c r="J41" s="42">
        <f>J42</f>
        <v>2407.1</v>
      </c>
    </row>
    <row r="42" spans="1:10" ht="12" customHeight="1" thickBot="1">
      <c r="A42" s="156"/>
      <c r="B42" s="79"/>
      <c r="C42" s="74"/>
      <c r="D42" s="55">
        <v>2212</v>
      </c>
      <c r="E42" s="81">
        <v>5331</v>
      </c>
      <c r="F42" s="82" t="s">
        <v>60</v>
      </c>
      <c r="G42" s="2">
        <v>0</v>
      </c>
      <c r="H42" s="2">
        <f>3000-592.9</f>
        <v>2407.1</v>
      </c>
      <c r="I42" s="2"/>
      <c r="J42" s="2">
        <f>H42+I42</f>
        <v>2407.1</v>
      </c>
    </row>
    <row r="43" spans="1:10" s="87" customFormat="1" ht="12" customHeight="1" thickBot="1">
      <c r="A43" s="156"/>
      <c r="B43" s="83" t="s">
        <v>2</v>
      </c>
      <c r="C43" s="12" t="s">
        <v>0</v>
      </c>
      <c r="D43" s="84" t="s">
        <v>0</v>
      </c>
      <c r="E43" s="84" t="s">
        <v>0</v>
      </c>
      <c r="F43" s="85" t="s">
        <v>12</v>
      </c>
      <c r="G43" s="86">
        <f>G44+G47+G50+G53+G57+G61+G65+G69+G73+G78+G82+G86+G90+G94+G98+G102+G106+G110+G113+G116+G119+G123+G127+G132+G135+G139+G142+G146+G150+G154+G158+G162+G165+G169+G173+G177+G181+G185+G189+G193+G197+G201+G205+G209+G213+G217+G220+G224+G228+G233+G237+G241+G245+G249+G253+G256+G260+G264+G268+G272+G275+G279+G283+G287+G291+G295+G299+G302+G306+G309+G313+G317+G321+G325+G329+G333+G337+G341+G345+G349+G352+G356+G360+G364+G367</f>
        <v>0</v>
      </c>
      <c r="H43" s="86">
        <f>H44+H47+H50+H53+H57+H61+H65+H69+H73+H78+H82+H86+H90+H94+H98+H102+H106+H110+H113+H116+H119+H123+H127+H132+H135+H139+H142+H146+H150+H154+H158+H162+H165+H169+H173+H177+H181+H185+H189+H193+H197+H201+H205+H209+H213+H217+H220+H224+H228+H233+H237+H241+H245+H249+H253+H256+H260+H264+H268+H272+H275+H279+H283+H287+H291+H295+H299+H302+H306+H309+H313+H317+H321+H325+H329+H333+H337+H341+H345+H349+H352+H356+H360+H364+H367</f>
        <v>172775.1875</v>
      </c>
      <c r="I43" s="146">
        <f>I44+I47+I50+I53+I57+I61+I65+I69+I73+I78+I82+I86+I90+I94+I98+I102+I106+I110+I113+I116+I119+I123+I127+I132+I135+I139+I142+I146+I150+I154+I158+I162+I165+I169+I173+I177+I181+I185+I189+I193+I197+I201+I205+I209+I213+I217+I220+I224+I228+I233+I237+I241+I245+I249+I253+I256+I260+I264+I268+I272+I275+I279+I283+I287+I291+I295+I299+I302+I306+I309+I313+I317+I321+I325+I329+I333+I337+I341+I345+I349+I352+I356+I360+I364+I367</f>
        <v>-6.394884621840902E-14</v>
      </c>
      <c r="J43" s="86">
        <f>J44+J47+J50+J53+J57+J61+J65+J69+J73+J78+J82+J86+J90+J94+J98+J102+J106+J110+J113+J116+J119+J123+J127+J132+J135+J139+J142+J146+J150+J154+J158+J162+J165+J169+J173+J177+J181+J185+J189+J193+J197+J201+J205+J209+J213+J217+J220+J224+J228+J233+J237+J241+J245+J249+J253+J256+J260+J264+J268+J272+J275+J279+J283+J287+J291+J295+J299+J302+J306+J309+J313+J317+J321+J325+J329+J333+J337+J341+J345+J349+J352+J356+J360+J364+J367</f>
        <v>172775.18750000006</v>
      </c>
    </row>
    <row r="44" spans="1:10" s="87" customFormat="1" ht="12" customHeight="1">
      <c r="A44" s="156"/>
      <c r="B44" s="13" t="s">
        <v>2</v>
      </c>
      <c r="C44" s="88" t="s">
        <v>13</v>
      </c>
      <c r="D44" s="65" t="s">
        <v>0</v>
      </c>
      <c r="E44" s="65" t="s">
        <v>0</v>
      </c>
      <c r="F44" s="66" t="s">
        <v>14</v>
      </c>
      <c r="G44" s="42">
        <f>SUM(G45:G46)</f>
        <v>0</v>
      </c>
      <c r="H44" s="11">
        <f>SUM(H45:H46)</f>
        <v>0.0004999999961796675</v>
      </c>
      <c r="I44" s="141">
        <f>SUM(I45:I46)</f>
        <v>466.0259999999999</v>
      </c>
      <c r="J44" s="42">
        <f>SUM(J45:J46)</f>
        <v>466.0264999999961</v>
      </c>
    </row>
    <row r="45" spans="1:10" s="87" customFormat="1" ht="12" customHeight="1">
      <c r="A45" s="156"/>
      <c r="B45" s="89"/>
      <c r="C45" s="90"/>
      <c r="D45" s="56">
        <v>2212</v>
      </c>
      <c r="E45" s="91">
        <v>5901</v>
      </c>
      <c r="F45" s="92" t="s">
        <v>61</v>
      </c>
      <c r="G45" s="93">
        <v>0</v>
      </c>
      <c r="H45" s="5">
        <f>4100-338.8+21824.1875-1267.3645-2642.436-6805.079-11724.454-1939.556-1206.498</f>
        <v>0</v>
      </c>
      <c r="I45" s="143">
        <f>804.786-454.004+3.63+81.666+29.948</f>
        <v>466.0259999999999</v>
      </c>
      <c r="J45" s="94">
        <f>H45+I45</f>
        <v>466.0259999999999</v>
      </c>
    </row>
    <row r="46" spans="1:10" s="87" customFormat="1" ht="12" customHeight="1" thickBot="1">
      <c r="A46" s="156"/>
      <c r="B46" s="95"/>
      <c r="C46" s="96" t="s">
        <v>62</v>
      </c>
      <c r="D46" s="55">
        <v>2212</v>
      </c>
      <c r="E46" s="97">
        <v>5901</v>
      </c>
      <c r="F46" s="98" t="s">
        <v>61</v>
      </c>
      <c r="G46" s="3">
        <v>0</v>
      </c>
      <c r="H46" s="2">
        <f>146851-9101.5345-60600.018-85064.545+11724.454-3371.489-437.867</f>
        <v>0.0004999999961796675</v>
      </c>
      <c r="I46" s="144"/>
      <c r="J46" s="3">
        <f>H46+I46</f>
        <v>0.0004999999961796675</v>
      </c>
    </row>
    <row r="47" spans="1:10" ht="12" customHeight="1">
      <c r="A47" s="156"/>
      <c r="B47" s="99" t="s">
        <v>2</v>
      </c>
      <c r="C47" s="59" t="s">
        <v>63</v>
      </c>
      <c r="D47" s="65" t="s">
        <v>0</v>
      </c>
      <c r="E47" s="65" t="s">
        <v>0</v>
      </c>
      <c r="F47" s="66" t="s">
        <v>64</v>
      </c>
      <c r="G47" s="42">
        <f>SUM(G48:G49)</f>
        <v>0</v>
      </c>
      <c r="H47" s="11">
        <f>SUM(H48:H49)</f>
        <v>1721.264</v>
      </c>
      <c r="I47" s="42">
        <f>SUM(I48:I49)</f>
        <v>0</v>
      </c>
      <c r="J47" s="42">
        <f>SUM(J48:J49)</f>
        <v>1721.264</v>
      </c>
    </row>
    <row r="48" spans="1:10" ht="12" customHeight="1">
      <c r="A48" s="156"/>
      <c r="B48" s="67"/>
      <c r="C48" s="100" t="s">
        <v>62</v>
      </c>
      <c r="D48" s="56">
        <v>2212</v>
      </c>
      <c r="E48" s="91">
        <v>5169</v>
      </c>
      <c r="F48" s="101" t="s">
        <v>9</v>
      </c>
      <c r="G48" s="5">
        <v>0</v>
      </c>
      <c r="H48" s="14">
        <f>35.09+22.99</f>
        <v>58.08</v>
      </c>
      <c r="I48" s="5"/>
      <c r="J48" s="143">
        <f>H48+I48</f>
        <v>58.08</v>
      </c>
    </row>
    <row r="49" spans="1:10" ht="12" customHeight="1" thickBot="1">
      <c r="A49" s="156"/>
      <c r="B49" s="67"/>
      <c r="C49" s="68"/>
      <c r="D49" s="56">
        <v>2212</v>
      </c>
      <c r="E49" s="91">
        <v>5171</v>
      </c>
      <c r="F49" s="92" t="s">
        <v>11</v>
      </c>
      <c r="G49" s="5">
        <v>0</v>
      </c>
      <c r="H49" s="5">
        <f>2004.567*0.15+0.00045+(2004.567*0.85-0.00045)-341.383</f>
        <v>1663.184</v>
      </c>
      <c r="I49" s="5"/>
      <c r="J49" s="5">
        <f>H49+I49</f>
        <v>1663.184</v>
      </c>
    </row>
    <row r="50" spans="1:10" ht="12" customHeight="1">
      <c r="A50" s="156"/>
      <c r="B50" s="99" t="s">
        <v>2</v>
      </c>
      <c r="C50" s="59" t="s">
        <v>65</v>
      </c>
      <c r="D50" s="65" t="s">
        <v>0</v>
      </c>
      <c r="E50" s="65" t="s">
        <v>0</v>
      </c>
      <c r="F50" s="66" t="s">
        <v>66</v>
      </c>
      <c r="G50" s="42">
        <f>SUM(G51:G52)</f>
        <v>0</v>
      </c>
      <c r="H50" s="11">
        <f>SUM(H51:H52)</f>
        <v>1243.877</v>
      </c>
      <c r="I50" s="42">
        <f>SUM(I51:I52)</f>
        <v>0</v>
      </c>
      <c r="J50" s="42">
        <f>SUM(J51:J52)</f>
        <v>1243.877</v>
      </c>
    </row>
    <row r="51" spans="1:10" ht="12" customHeight="1">
      <c r="A51" s="156"/>
      <c r="B51" s="67"/>
      <c r="C51" s="100" t="s">
        <v>62</v>
      </c>
      <c r="D51" s="56">
        <v>2212</v>
      </c>
      <c r="E51" s="91">
        <v>5169</v>
      </c>
      <c r="F51" s="101" t="s">
        <v>9</v>
      </c>
      <c r="G51" s="5">
        <v>0</v>
      </c>
      <c r="H51" s="14">
        <f>21.538+37.752</f>
        <v>59.290000000000006</v>
      </c>
      <c r="I51" s="6"/>
      <c r="J51" s="143">
        <f>H51+I51</f>
        <v>59.290000000000006</v>
      </c>
    </row>
    <row r="52" spans="1:10" ht="12" customHeight="1" thickBot="1">
      <c r="A52" s="156"/>
      <c r="B52" s="95"/>
      <c r="C52" s="74"/>
      <c r="D52" s="55">
        <v>2212</v>
      </c>
      <c r="E52" s="97">
        <v>5171</v>
      </c>
      <c r="F52" s="98" t="s">
        <v>11</v>
      </c>
      <c r="G52" s="3">
        <v>0</v>
      </c>
      <c r="H52" s="3">
        <f>1185.796*0.15+0.0001+(1185.796*0.85-0.0001)-1.209</f>
        <v>1184.587</v>
      </c>
      <c r="I52" s="3"/>
      <c r="J52" s="3">
        <f>H52+I52</f>
        <v>1184.587</v>
      </c>
    </row>
    <row r="53" spans="1:10" s="87" customFormat="1" ht="12" customHeight="1">
      <c r="A53" s="156"/>
      <c r="B53" s="99" t="s">
        <v>2</v>
      </c>
      <c r="C53" s="102" t="s">
        <v>67</v>
      </c>
      <c r="D53" s="103" t="s">
        <v>0</v>
      </c>
      <c r="E53" s="103" t="s">
        <v>0</v>
      </c>
      <c r="F53" s="104" t="s">
        <v>68</v>
      </c>
      <c r="G53" s="105">
        <f>SUM(G54:G56)</f>
        <v>0</v>
      </c>
      <c r="H53" s="106">
        <f>SUM(H54:H56)</f>
        <v>2223.101</v>
      </c>
      <c r="I53" s="105">
        <f>SUM(I54:I56)</f>
        <v>0</v>
      </c>
      <c r="J53" s="105">
        <f>SUM(J54:J56)</f>
        <v>2223.101</v>
      </c>
    </row>
    <row r="54" spans="1:10" s="87" customFormat="1" ht="12" customHeight="1">
      <c r="A54" s="156"/>
      <c r="B54" s="89"/>
      <c r="C54" s="107"/>
      <c r="D54" s="56">
        <v>2212</v>
      </c>
      <c r="E54" s="91">
        <v>5169</v>
      </c>
      <c r="F54" s="101" t="s">
        <v>9</v>
      </c>
      <c r="G54" s="93">
        <v>0</v>
      </c>
      <c r="H54" s="5">
        <f>20*1.21+2.5*1.21</f>
        <v>27.224999999999998</v>
      </c>
      <c r="I54" s="6"/>
      <c r="J54" s="94">
        <f>H54+I54</f>
        <v>27.224999999999998</v>
      </c>
    </row>
    <row r="55" spans="1:10" s="87" customFormat="1" ht="12" customHeight="1">
      <c r="A55" s="156"/>
      <c r="B55" s="89"/>
      <c r="C55" s="100" t="s">
        <v>62</v>
      </c>
      <c r="D55" s="56">
        <v>2212</v>
      </c>
      <c r="E55" s="91">
        <v>5169</v>
      </c>
      <c r="F55" s="101" t="s">
        <v>9</v>
      </c>
      <c r="G55" s="93">
        <v>0</v>
      </c>
      <c r="H55" s="5">
        <f>32.148+12.705</f>
        <v>44.853</v>
      </c>
      <c r="I55" s="6"/>
      <c r="J55" s="145">
        <f>H55+I55</f>
        <v>44.853</v>
      </c>
    </row>
    <row r="56" spans="1:10" ht="12" customHeight="1" thickBot="1">
      <c r="A56" s="156"/>
      <c r="B56" s="95"/>
      <c r="C56" s="96" t="s">
        <v>62</v>
      </c>
      <c r="D56" s="55">
        <v>2212</v>
      </c>
      <c r="E56" s="97">
        <v>5171</v>
      </c>
      <c r="F56" s="98" t="s">
        <v>11</v>
      </c>
      <c r="G56" s="3">
        <v>0</v>
      </c>
      <c r="H56" s="2">
        <v>2151.023</v>
      </c>
      <c r="I56" s="2"/>
      <c r="J56" s="144">
        <f>H56+I56</f>
        <v>2151.023</v>
      </c>
    </row>
    <row r="57" spans="1:10" s="87" customFormat="1" ht="12" customHeight="1">
      <c r="A57" s="156"/>
      <c r="B57" s="13" t="s">
        <v>2</v>
      </c>
      <c r="C57" s="88" t="s">
        <v>69</v>
      </c>
      <c r="D57" s="65" t="s">
        <v>0</v>
      </c>
      <c r="E57" s="65" t="s">
        <v>0</v>
      </c>
      <c r="F57" s="66" t="s">
        <v>70</v>
      </c>
      <c r="G57" s="42">
        <f>SUM(G58:G60)</f>
        <v>0</v>
      </c>
      <c r="H57" s="11">
        <f>SUM(H58:H60)</f>
        <v>1700.341</v>
      </c>
      <c r="I57" s="42">
        <f>SUM(I58:I60)</f>
        <v>0</v>
      </c>
      <c r="J57" s="42">
        <f>SUM(J58:J60)</f>
        <v>1700.341</v>
      </c>
    </row>
    <row r="58" spans="1:10" s="87" customFormat="1" ht="12" customHeight="1">
      <c r="A58" s="156"/>
      <c r="B58" s="89"/>
      <c r="C58" s="107"/>
      <c r="D58" s="56">
        <v>2212</v>
      </c>
      <c r="E58" s="91">
        <v>5169</v>
      </c>
      <c r="F58" s="101" t="s">
        <v>9</v>
      </c>
      <c r="G58" s="93">
        <v>0</v>
      </c>
      <c r="H58" s="5">
        <f>20*1.21+2.5*1.21</f>
        <v>27.224999999999998</v>
      </c>
      <c r="I58" s="6"/>
      <c r="J58" s="94">
        <f>H58+I58</f>
        <v>27.224999999999998</v>
      </c>
    </row>
    <row r="59" spans="1:10" s="87" customFormat="1" ht="12" customHeight="1">
      <c r="A59" s="156"/>
      <c r="B59" s="89"/>
      <c r="C59" s="100" t="s">
        <v>62</v>
      </c>
      <c r="D59" s="56">
        <v>2212</v>
      </c>
      <c r="E59" s="91">
        <v>5169</v>
      </c>
      <c r="F59" s="101" t="s">
        <v>9</v>
      </c>
      <c r="G59" s="93">
        <v>0</v>
      </c>
      <c r="H59" s="5">
        <f>32.148+12.705</f>
        <v>44.853</v>
      </c>
      <c r="I59" s="6"/>
      <c r="J59" s="145">
        <f>H59+I59</f>
        <v>44.853</v>
      </c>
    </row>
    <row r="60" spans="1:10" ht="12" customHeight="1" thickBot="1">
      <c r="A60" s="156"/>
      <c r="B60" s="95"/>
      <c r="C60" s="96" t="s">
        <v>62</v>
      </c>
      <c r="D60" s="55">
        <v>2212</v>
      </c>
      <c r="E60" s="97">
        <v>5171</v>
      </c>
      <c r="F60" s="98" t="s">
        <v>11</v>
      </c>
      <c r="G60" s="3">
        <v>0</v>
      </c>
      <c r="H60" s="2">
        <v>1628.263</v>
      </c>
      <c r="I60" s="2"/>
      <c r="J60" s="144">
        <f>H60+I60</f>
        <v>1628.263</v>
      </c>
    </row>
    <row r="61" spans="1:10" s="87" customFormat="1" ht="12" customHeight="1">
      <c r="A61" s="156"/>
      <c r="B61" s="99" t="s">
        <v>2</v>
      </c>
      <c r="C61" s="102" t="s">
        <v>71</v>
      </c>
      <c r="D61" s="103" t="s">
        <v>0</v>
      </c>
      <c r="E61" s="103" t="s">
        <v>0</v>
      </c>
      <c r="F61" s="104" t="s">
        <v>72</v>
      </c>
      <c r="G61" s="42">
        <f>SUM(G62:G64)</f>
        <v>0</v>
      </c>
      <c r="H61" s="11">
        <f>SUM(H62:H64)</f>
        <v>4148.308</v>
      </c>
      <c r="I61" s="42">
        <f>SUM(I62:I64)</f>
        <v>0</v>
      </c>
      <c r="J61" s="42">
        <f>SUM(J62:J64)</f>
        <v>4148.308</v>
      </c>
    </row>
    <row r="62" spans="1:10" s="87" customFormat="1" ht="12" customHeight="1">
      <c r="A62" s="156"/>
      <c r="B62" s="89"/>
      <c r="C62" s="107"/>
      <c r="D62" s="56">
        <v>2212</v>
      </c>
      <c r="E62" s="91">
        <v>5169</v>
      </c>
      <c r="F62" s="101" t="s">
        <v>9</v>
      </c>
      <c r="G62" s="93">
        <v>0</v>
      </c>
      <c r="H62" s="5">
        <f>20*1.21+2.5*1.21</f>
        <v>27.224999999999998</v>
      </c>
      <c r="I62" s="6"/>
      <c r="J62" s="94">
        <f>H62+I62</f>
        <v>27.224999999999998</v>
      </c>
    </row>
    <row r="63" spans="1:10" s="87" customFormat="1" ht="12" customHeight="1">
      <c r="A63" s="156"/>
      <c r="B63" s="89"/>
      <c r="C63" s="100" t="s">
        <v>62</v>
      </c>
      <c r="D63" s="56">
        <v>2212</v>
      </c>
      <c r="E63" s="91">
        <v>5169</v>
      </c>
      <c r="F63" s="101" t="s">
        <v>9</v>
      </c>
      <c r="G63" s="93">
        <v>0</v>
      </c>
      <c r="H63" s="5">
        <f>32.147+12.705</f>
        <v>44.852</v>
      </c>
      <c r="I63" s="6"/>
      <c r="J63" s="145">
        <f>H63+I63</f>
        <v>44.852</v>
      </c>
    </row>
    <row r="64" spans="1:10" ht="12" customHeight="1" thickBot="1">
      <c r="A64" s="156"/>
      <c r="B64" s="108"/>
      <c r="C64" s="109" t="s">
        <v>62</v>
      </c>
      <c r="D64" s="46">
        <v>2212</v>
      </c>
      <c r="E64" s="110">
        <v>5171</v>
      </c>
      <c r="F64" s="61" t="s">
        <v>11</v>
      </c>
      <c r="G64" s="2">
        <v>0</v>
      </c>
      <c r="H64" s="2">
        <v>4076.231</v>
      </c>
      <c r="I64" s="2"/>
      <c r="J64" s="140">
        <f>H64+I64</f>
        <v>4076.231</v>
      </c>
    </row>
    <row r="65" spans="1:10" s="87" customFormat="1" ht="12" customHeight="1">
      <c r="A65" s="156"/>
      <c r="B65" s="13" t="s">
        <v>2</v>
      </c>
      <c r="C65" s="88" t="s">
        <v>73</v>
      </c>
      <c r="D65" s="65" t="s">
        <v>0</v>
      </c>
      <c r="E65" s="65" t="s">
        <v>0</v>
      </c>
      <c r="F65" s="66" t="s">
        <v>74</v>
      </c>
      <c r="G65" s="42">
        <f>SUM(G66:G68)</f>
        <v>0</v>
      </c>
      <c r="H65" s="11">
        <f>SUM(H66:H68)</f>
        <v>1445.493</v>
      </c>
      <c r="I65" s="42">
        <f>SUM(I66:I68)</f>
        <v>0</v>
      </c>
      <c r="J65" s="42">
        <f>SUM(J66:J68)</f>
        <v>1445.493</v>
      </c>
    </row>
    <row r="66" spans="1:10" s="87" customFormat="1" ht="12" customHeight="1">
      <c r="A66" s="156"/>
      <c r="B66" s="89"/>
      <c r="C66" s="107"/>
      <c r="D66" s="56">
        <v>2212</v>
      </c>
      <c r="E66" s="91">
        <v>5169</v>
      </c>
      <c r="F66" s="101" t="s">
        <v>9</v>
      </c>
      <c r="G66" s="93">
        <v>0</v>
      </c>
      <c r="H66" s="5">
        <f>20*1.21+2.5*1.21</f>
        <v>27.224999999999998</v>
      </c>
      <c r="I66" s="6"/>
      <c r="J66" s="94">
        <f>H66+I66</f>
        <v>27.224999999999998</v>
      </c>
    </row>
    <row r="67" spans="1:10" s="87" customFormat="1" ht="12" customHeight="1">
      <c r="A67" s="156"/>
      <c r="B67" s="89"/>
      <c r="C67" s="100" t="s">
        <v>62</v>
      </c>
      <c r="D67" s="56">
        <v>2212</v>
      </c>
      <c r="E67" s="91">
        <v>5169</v>
      </c>
      <c r="F67" s="101" t="s">
        <v>9</v>
      </c>
      <c r="G67" s="93">
        <v>0</v>
      </c>
      <c r="H67" s="15">
        <f>31.46+16.94</f>
        <v>48.400000000000006</v>
      </c>
      <c r="I67" s="6"/>
      <c r="J67" s="145">
        <f>H67+I67</f>
        <v>48.400000000000006</v>
      </c>
    </row>
    <row r="68" spans="1:10" ht="12" customHeight="1" thickBot="1">
      <c r="A68" s="156"/>
      <c r="B68" s="95"/>
      <c r="C68" s="96" t="s">
        <v>62</v>
      </c>
      <c r="D68" s="46">
        <v>2212</v>
      </c>
      <c r="E68" s="110">
        <v>5171</v>
      </c>
      <c r="F68" s="61" t="s">
        <v>11</v>
      </c>
      <c r="G68" s="3">
        <v>0</v>
      </c>
      <c r="H68" s="2">
        <v>1369.868</v>
      </c>
      <c r="I68" s="2"/>
      <c r="J68" s="140">
        <f>H68+I68</f>
        <v>1369.868</v>
      </c>
    </row>
    <row r="69" spans="1:10" s="87" customFormat="1" ht="12" customHeight="1">
      <c r="A69" s="156"/>
      <c r="B69" s="13" t="s">
        <v>2</v>
      </c>
      <c r="C69" s="88" t="s">
        <v>75</v>
      </c>
      <c r="D69" s="65" t="s">
        <v>0</v>
      </c>
      <c r="E69" s="65" t="s">
        <v>0</v>
      </c>
      <c r="F69" s="66" t="s">
        <v>76</v>
      </c>
      <c r="G69" s="42">
        <f>SUM(G70:G72)</f>
        <v>0</v>
      </c>
      <c r="H69" s="11">
        <f>SUM(H70:H72)</f>
        <v>4720.688</v>
      </c>
      <c r="I69" s="141">
        <f>SUM(I70:I72)</f>
        <v>-29.948</v>
      </c>
      <c r="J69" s="42">
        <f>SUM(J70:J72)</f>
        <v>4690.74</v>
      </c>
    </row>
    <row r="70" spans="1:10" s="87" customFormat="1" ht="12" customHeight="1">
      <c r="A70" s="156"/>
      <c r="B70" s="89"/>
      <c r="C70" s="107"/>
      <c r="D70" s="56">
        <v>2212</v>
      </c>
      <c r="E70" s="91">
        <v>5169</v>
      </c>
      <c r="F70" s="101" t="s">
        <v>9</v>
      </c>
      <c r="G70" s="93">
        <v>0</v>
      </c>
      <c r="H70" s="5">
        <f>20*1.21+2.5*1.21</f>
        <v>27.224999999999998</v>
      </c>
      <c r="I70" s="142"/>
      <c r="J70" s="94">
        <f>H70+I70</f>
        <v>27.224999999999998</v>
      </c>
    </row>
    <row r="71" spans="1:10" s="87" customFormat="1" ht="12" customHeight="1">
      <c r="A71" s="156"/>
      <c r="B71" s="89"/>
      <c r="C71" s="100" t="s">
        <v>62</v>
      </c>
      <c r="D71" s="56">
        <v>2212</v>
      </c>
      <c r="E71" s="91">
        <v>5169</v>
      </c>
      <c r="F71" s="101" t="s">
        <v>9</v>
      </c>
      <c r="G71" s="93">
        <v>0</v>
      </c>
      <c r="H71" s="5">
        <f>58.939+38.115</f>
        <v>97.054</v>
      </c>
      <c r="I71" s="142"/>
      <c r="J71" s="145">
        <f>H71+I71</f>
        <v>97.054</v>
      </c>
    </row>
    <row r="72" spans="1:10" ht="12" customHeight="1" thickBot="1">
      <c r="A72" s="156"/>
      <c r="B72" s="95"/>
      <c r="C72" s="96" t="s">
        <v>62</v>
      </c>
      <c r="D72" s="46">
        <v>2212</v>
      </c>
      <c r="E72" s="110">
        <v>5171</v>
      </c>
      <c r="F72" s="61" t="s">
        <v>11</v>
      </c>
      <c r="G72" s="3">
        <v>0</v>
      </c>
      <c r="H72" s="2">
        <v>4596.409</v>
      </c>
      <c r="I72" s="140">
        <v>-29.948</v>
      </c>
      <c r="J72" s="140">
        <f>H72+I72</f>
        <v>4566.460999999999</v>
      </c>
    </row>
    <row r="73" spans="1:10" s="87" customFormat="1" ht="12" customHeight="1">
      <c r="A73" s="156"/>
      <c r="B73" s="13" t="s">
        <v>2</v>
      </c>
      <c r="C73" s="88" t="s">
        <v>77</v>
      </c>
      <c r="D73" s="65" t="s">
        <v>0</v>
      </c>
      <c r="E73" s="65" t="s">
        <v>0</v>
      </c>
      <c r="F73" s="66" t="s">
        <v>78</v>
      </c>
      <c r="G73" s="42">
        <f>SUM(G74:G77)</f>
        <v>0</v>
      </c>
      <c r="H73" s="11">
        <f>SUM(H74:H77)</f>
        <v>2399.085</v>
      </c>
      <c r="I73" s="141">
        <f>SUM(I74:I77)</f>
        <v>454.0039999999999</v>
      </c>
      <c r="J73" s="42">
        <f>SUM(J74:J77)</f>
        <v>2853.089</v>
      </c>
    </row>
    <row r="74" spans="1:10" s="87" customFormat="1" ht="12" customHeight="1">
      <c r="A74" s="156"/>
      <c r="B74" s="89"/>
      <c r="C74" s="107"/>
      <c r="D74" s="56">
        <v>2212</v>
      </c>
      <c r="E74" s="91">
        <v>5169</v>
      </c>
      <c r="F74" s="101" t="s">
        <v>9</v>
      </c>
      <c r="G74" s="93">
        <v>0</v>
      </c>
      <c r="H74" s="5">
        <f>20*1.21+2.5*1.21</f>
        <v>27.224999999999998</v>
      </c>
      <c r="I74" s="142"/>
      <c r="J74" s="94">
        <f>H74+I74</f>
        <v>27.224999999999998</v>
      </c>
    </row>
    <row r="75" spans="1:10" s="87" customFormat="1" ht="12" customHeight="1">
      <c r="A75" s="156"/>
      <c r="B75" s="89"/>
      <c r="C75" s="100" t="s">
        <v>62</v>
      </c>
      <c r="D75" s="56">
        <v>2212</v>
      </c>
      <c r="E75" s="91">
        <v>5169</v>
      </c>
      <c r="F75" s="101" t="s">
        <v>9</v>
      </c>
      <c r="G75" s="93">
        <v>0</v>
      </c>
      <c r="H75" s="5">
        <f>18.453+15.73</f>
        <v>34.183</v>
      </c>
      <c r="I75" s="142"/>
      <c r="J75" s="145">
        <f>H75+I75</f>
        <v>34.183</v>
      </c>
    </row>
    <row r="76" spans="1:10" s="87" customFormat="1" ht="12" customHeight="1">
      <c r="A76" s="156"/>
      <c r="B76" s="138"/>
      <c r="C76" s="107"/>
      <c r="D76" s="123">
        <v>2212</v>
      </c>
      <c r="E76" s="139">
        <v>5171</v>
      </c>
      <c r="F76" s="25" t="s">
        <v>11</v>
      </c>
      <c r="G76" s="15">
        <v>0</v>
      </c>
      <c r="H76" s="15">
        <v>1190.591</v>
      </c>
      <c r="I76" s="142">
        <f>2791.681-454.004-1190.591+454.004</f>
        <v>1601.0900000000001</v>
      </c>
      <c r="J76" s="94">
        <f>H76+I76</f>
        <v>2791.681</v>
      </c>
    </row>
    <row r="77" spans="1:10" ht="12" customHeight="1" thickBot="1">
      <c r="A77" s="156"/>
      <c r="B77" s="95"/>
      <c r="C77" s="96" t="s">
        <v>62</v>
      </c>
      <c r="D77" s="55">
        <v>2212</v>
      </c>
      <c r="E77" s="97">
        <v>5171</v>
      </c>
      <c r="F77" s="98" t="s">
        <v>11</v>
      </c>
      <c r="G77" s="3">
        <v>0</v>
      </c>
      <c r="H77" s="3">
        <f>2791.681-454.004-1190.591</f>
        <v>1147.0860000000002</v>
      </c>
      <c r="I77" s="140">
        <f>-(2791.681-454.004-1190.591)</f>
        <v>-1147.0860000000002</v>
      </c>
      <c r="J77" s="140">
        <f>H77+I77</f>
        <v>0</v>
      </c>
    </row>
    <row r="78" spans="1:10" s="87" customFormat="1" ht="12" customHeight="1">
      <c r="A78" s="156"/>
      <c r="B78" s="13" t="s">
        <v>2</v>
      </c>
      <c r="C78" s="88" t="s">
        <v>79</v>
      </c>
      <c r="D78" s="65" t="s">
        <v>0</v>
      </c>
      <c r="E78" s="65" t="s">
        <v>0</v>
      </c>
      <c r="F78" s="66" t="s">
        <v>80</v>
      </c>
      <c r="G78" s="42">
        <f>SUM(G79:G81)</f>
        <v>0</v>
      </c>
      <c r="H78" s="11">
        <f>SUM(H79:H81)</f>
        <v>1503.8419999999999</v>
      </c>
      <c r="I78" s="42">
        <f>SUM(I79:I81)</f>
        <v>0</v>
      </c>
      <c r="J78" s="42">
        <f>SUM(J79:J81)</f>
        <v>1503.8419999999999</v>
      </c>
    </row>
    <row r="79" spans="1:10" s="87" customFormat="1" ht="12" customHeight="1">
      <c r="A79" s="156"/>
      <c r="B79" s="89"/>
      <c r="C79" s="107"/>
      <c r="D79" s="56">
        <v>2212</v>
      </c>
      <c r="E79" s="91">
        <v>5169</v>
      </c>
      <c r="F79" s="101" t="s">
        <v>9</v>
      </c>
      <c r="G79" s="93">
        <v>0</v>
      </c>
      <c r="H79" s="5">
        <f>20*1.21+2.5*1.21</f>
        <v>27.224999999999998</v>
      </c>
      <c r="I79" s="6"/>
      <c r="J79" s="94">
        <f>H79+I79</f>
        <v>27.224999999999998</v>
      </c>
    </row>
    <row r="80" spans="1:10" s="87" customFormat="1" ht="12" customHeight="1">
      <c r="A80" s="156"/>
      <c r="B80" s="89"/>
      <c r="C80" s="100" t="s">
        <v>62</v>
      </c>
      <c r="D80" s="56">
        <v>2212</v>
      </c>
      <c r="E80" s="91">
        <v>5169</v>
      </c>
      <c r="F80" s="101" t="s">
        <v>9</v>
      </c>
      <c r="G80" s="93">
        <v>0</v>
      </c>
      <c r="H80" s="5">
        <f>18.452+15.73</f>
        <v>34.182</v>
      </c>
      <c r="I80" s="6"/>
      <c r="J80" s="145">
        <f>H80+I80</f>
        <v>34.182</v>
      </c>
    </row>
    <row r="81" spans="1:10" ht="12" customHeight="1" thickBot="1">
      <c r="A81" s="156"/>
      <c r="B81" s="95"/>
      <c r="C81" s="96" t="s">
        <v>62</v>
      </c>
      <c r="D81" s="46">
        <v>2212</v>
      </c>
      <c r="E81" s="110">
        <v>5171</v>
      </c>
      <c r="F81" s="61" t="s">
        <v>11</v>
      </c>
      <c r="G81" s="3">
        <v>0</v>
      </c>
      <c r="H81" s="2">
        <v>1442.435</v>
      </c>
      <c r="I81" s="2"/>
      <c r="J81" s="140">
        <f>H81+I81</f>
        <v>1442.435</v>
      </c>
    </row>
    <row r="82" spans="1:10" s="87" customFormat="1" ht="12" customHeight="1">
      <c r="A82" s="156"/>
      <c r="B82" s="99" t="s">
        <v>2</v>
      </c>
      <c r="C82" s="102" t="s">
        <v>81</v>
      </c>
      <c r="D82" s="103" t="s">
        <v>0</v>
      </c>
      <c r="E82" s="103" t="s">
        <v>0</v>
      </c>
      <c r="F82" s="104" t="s">
        <v>82</v>
      </c>
      <c r="G82" s="42">
        <f>SUM(G83:G85)</f>
        <v>0</v>
      </c>
      <c r="H82" s="11">
        <f>SUM(H83:H85)</f>
        <v>3268.2920000000004</v>
      </c>
      <c r="I82" s="42">
        <f>SUM(I83:I85)</f>
        <v>0</v>
      </c>
      <c r="J82" s="42">
        <f>SUM(J83:J85)</f>
        <v>3268.2920000000004</v>
      </c>
    </row>
    <row r="83" spans="1:10" s="87" customFormat="1" ht="12" customHeight="1">
      <c r="A83" s="156"/>
      <c r="B83" s="89"/>
      <c r="C83" s="107"/>
      <c r="D83" s="56">
        <v>2212</v>
      </c>
      <c r="E83" s="91">
        <v>5169</v>
      </c>
      <c r="F83" s="101" t="s">
        <v>9</v>
      </c>
      <c r="G83" s="93">
        <v>0</v>
      </c>
      <c r="H83" s="5">
        <f>20*1.21+2.5*1.21</f>
        <v>27.224999999999998</v>
      </c>
      <c r="I83" s="6"/>
      <c r="J83" s="94">
        <f>H83+I83</f>
        <v>27.224999999999998</v>
      </c>
    </row>
    <row r="84" spans="1:10" s="87" customFormat="1" ht="12" customHeight="1">
      <c r="A84" s="156"/>
      <c r="B84" s="89"/>
      <c r="C84" s="100" t="s">
        <v>62</v>
      </c>
      <c r="D84" s="56">
        <v>2212</v>
      </c>
      <c r="E84" s="91">
        <v>5169</v>
      </c>
      <c r="F84" s="101" t="s">
        <v>9</v>
      </c>
      <c r="G84" s="93">
        <v>0</v>
      </c>
      <c r="H84" s="5">
        <f>23.595+16.94</f>
        <v>40.535</v>
      </c>
      <c r="I84" s="6"/>
      <c r="J84" s="145">
        <f>H84+I84</f>
        <v>40.535</v>
      </c>
    </row>
    <row r="85" spans="1:10" ht="12" customHeight="1" thickBot="1">
      <c r="A85" s="156"/>
      <c r="B85" s="95"/>
      <c r="C85" s="96" t="s">
        <v>62</v>
      </c>
      <c r="D85" s="55">
        <v>2212</v>
      </c>
      <c r="E85" s="97">
        <v>5171</v>
      </c>
      <c r="F85" s="98" t="s">
        <v>11</v>
      </c>
      <c r="G85" s="3">
        <v>0</v>
      </c>
      <c r="H85" s="2">
        <v>3200.532</v>
      </c>
      <c r="I85" s="2"/>
      <c r="J85" s="144">
        <f>H85+I85</f>
        <v>3200.532</v>
      </c>
    </row>
    <row r="86" spans="1:10" s="87" customFormat="1" ht="12" customHeight="1">
      <c r="A86" s="156"/>
      <c r="B86" s="13" t="s">
        <v>2</v>
      </c>
      <c r="C86" s="88" t="s">
        <v>83</v>
      </c>
      <c r="D86" s="65" t="s">
        <v>0</v>
      </c>
      <c r="E86" s="65" t="s">
        <v>0</v>
      </c>
      <c r="F86" s="66" t="s">
        <v>84</v>
      </c>
      <c r="G86" s="42">
        <f>SUM(G87:G89)</f>
        <v>0</v>
      </c>
      <c r="H86" s="11">
        <f>SUM(H87:H89)</f>
        <v>4568.306</v>
      </c>
      <c r="I86" s="42">
        <f>SUM(I87:I89)</f>
        <v>0</v>
      </c>
      <c r="J86" s="42">
        <f>SUM(J87:J89)</f>
        <v>4568.306</v>
      </c>
    </row>
    <row r="87" spans="1:10" s="87" customFormat="1" ht="12" customHeight="1">
      <c r="A87" s="156"/>
      <c r="B87" s="89"/>
      <c r="C87" s="107"/>
      <c r="D87" s="56">
        <v>2212</v>
      </c>
      <c r="E87" s="91">
        <v>5169</v>
      </c>
      <c r="F87" s="101" t="s">
        <v>9</v>
      </c>
      <c r="G87" s="93">
        <v>0</v>
      </c>
      <c r="H87" s="5">
        <f>20*1.21+2.5*1.21</f>
        <v>27.224999999999998</v>
      </c>
      <c r="I87" s="6"/>
      <c r="J87" s="94">
        <f>H87+I87</f>
        <v>27.224999999999998</v>
      </c>
    </row>
    <row r="88" spans="1:10" s="87" customFormat="1" ht="12" customHeight="1">
      <c r="A88" s="156"/>
      <c r="B88" s="89"/>
      <c r="C88" s="100" t="s">
        <v>62</v>
      </c>
      <c r="D88" s="56">
        <v>2212</v>
      </c>
      <c r="E88" s="91">
        <v>5169</v>
      </c>
      <c r="F88" s="101" t="s">
        <v>9</v>
      </c>
      <c r="G88" s="93">
        <v>0</v>
      </c>
      <c r="H88" s="15">
        <f>84.7+32.85</f>
        <v>117.55000000000001</v>
      </c>
      <c r="I88" s="6"/>
      <c r="J88" s="145">
        <f>H88+I88</f>
        <v>117.55000000000001</v>
      </c>
    </row>
    <row r="89" spans="1:10" ht="12" customHeight="1" thickBot="1">
      <c r="A89" s="156"/>
      <c r="B89" s="95"/>
      <c r="C89" s="96" t="s">
        <v>62</v>
      </c>
      <c r="D89" s="46">
        <v>2212</v>
      </c>
      <c r="E89" s="110">
        <v>5171</v>
      </c>
      <c r="F89" s="61" t="s">
        <v>11</v>
      </c>
      <c r="G89" s="3">
        <v>0</v>
      </c>
      <c r="H89" s="2">
        <v>4423.531</v>
      </c>
      <c r="I89" s="2"/>
      <c r="J89" s="140">
        <f>H89+I89</f>
        <v>4423.531</v>
      </c>
    </row>
    <row r="90" spans="1:10" s="87" customFormat="1" ht="12" customHeight="1">
      <c r="A90" s="156"/>
      <c r="B90" s="13" t="s">
        <v>2</v>
      </c>
      <c r="C90" s="88" t="s">
        <v>85</v>
      </c>
      <c r="D90" s="65" t="s">
        <v>0</v>
      </c>
      <c r="E90" s="65" t="s">
        <v>0</v>
      </c>
      <c r="F90" s="66" t="s">
        <v>86</v>
      </c>
      <c r="G90" s="42">
        <f>SUM(G91:G93)</f>
        <v>0</v>
      </c>
      <c r="H90" s="11">
        <f>SUM(H91:H93)</f>
        <v>2274.2430000000004</v>
      </c>
      <c r="I90" s="42">
        <f>SUM(I91:I93)</f>
        <v>0</v>
      </c>
      <c r="J90" s="42">
        <f>SUM(J91:J93)</f>
        <v>2274.2430000000004</v>
      </c>
    </row>
    <row r="91" spans="1:10" s="87" customFormat="1" ht="12" customHeight="1">
      <c r="A91" s="156"/>
      <c r="B91" s="89"/>
      <c r="C91" s="107"/>
      <c r="D91" s="56">
        <v>2212</v>
      </c>
      <c r="E91" s="91">
        <v>5169</v>
      </c>
      <c r="F91" s="101" t="s">
        <v>9</v>
      </c>
      <c r="G91" s="93">
        <v>0</v>
      </c>
      <c r="H91" s="5">
        <f>20*1.21+2.5*1.21</f>
        <v>27.224999999999998</v>
      </c>
      <c r="I91" s="6"/>
      <c r="J91" s="94">
        <f>H91+I91</f>
        <v>27.224999999999998</v>
      </c>
    </row>
    <row r="92" spans="1:10" s="87" customFormat="1" ht="12" customHeight="1">
      <c r="A92" s="156"/>
      <c r="B92" s="89"/>
      <c r="C92" s="100" t="s">
        <v>62</v>
      </c>
      <c r="D92" s="56">
        <v>2212</v>
      </c>
      <c r="E92" s="91">
        <v>5169</v>
      </c>
      <c r="F92" s="101" t="s">
        <v>9</v>
      </c>
      <c r="G92" s="93">
        <v>0</v>
      </c>
      <c r="H92" s="5">
        <f>23.595+16.94</f>
        <v>40.535</v>
      </c>
      <c r="I92" s="6"/>
      <c r="J92" s="145">
        <f>H92+I92</f>
        <v>40.535</v>
      </c>
    </row>
    <row r="93" spans="1:10" ht="12" customHeight="1" thickBot="1">
      <c r="A93" s="156"/>
      <c r="B93" s="95"/>
      <c r="C93" s="96" t="s">
        <v>62</v>
      </c>
      <c r="D93" s="55">
        <v>2212</v>
      </c>
      <c r="E93" s="97">
        <v>5171</v>
      </c>
      <c r="F93" s="98" t="s">
        <v>11</v>
      </c>
      <c r="G93" s="3">
        <v>0</v>
      </c>
      <c r="H93" s="2">
        <v>2206.483</v>
      </c>
      <c r="I93" s="2"/>
      <c r="J93" s="144">
        <f>H93+I93</f>
        <v>2206.483</v>
      </c>
    </row>
    <row r="94" spans="1:10" s="87" customFormat="1" ht="12" customHeight="1">
      <c r="A94" s="156"/>
      <c r="B94" s="99" t="s">
        <v>2</v>
      </c>
      <c r="C94" s="102" t="s">
        <v>87</v>
      </c>
      <c r="D94" s="103" t="s">
        <v>0</v>
      </c>
      <c r="E94" s="103" t="s">
        <v>0</v>
      </c>
      <c r="F94" s="104" t="s">
        <v>88</v>
      </c>
      <c r="G94" s="42">
        <f>SUM(G95:G97)</f>
        <v>0</v>
      </c>
      <c r="H94" s="11">
        <f>SUM(H95:H97)</f>
        <v>3841.4120000000003</v>
      </c>
      <c r="I94" s="42">
        <f>SUM(I95:I97)</f>
        <v>0</v>
      </c>
      <c r="J94" s="42">
        <f>SUM(J95:J97)</f>
        <v>3841.4120000000003</v>
      </c>
    </row>
    <row r="95" spans="1:10" s="87" customFormat="1" ht="12" customHeight="1">
      <c r="A95" s="156"/>
      <c r="B95" s="89"/>
      <c r="C95" s="107"/>
      <c r="D95" s="56">
        <v>2212</v>
      </c>
      <c r="E95" s="91">
        <v>5169</v>
      </c>
      <c r="F95" s="101" t="s">
        <v>9</v>
      </c>
      <c r="G95" s="93">
        <v>0</v>
      </c>
      <c r="H95" s="5">
        <f>20*1.21+2.5*1.21</f>
        <v>27.224999999999998</v>
      </c>
      <c r="I95" s="6"/>
      <c r="J95" s="94">
        <f>H95+I95</f>
        <v>27.224999999999998</v>
      </c>
    </row>
    <row r="96" spans="1:10" s="87" customFormat="1" ht="12" customHeight="1">
      <c r="A96" s="156"/>
      <c r="B96" s="89"/>
      <c r="C96" s="100" t="s">
        <v>62</v>
      </c>
      <c r="D96" s="56">
        <v>2212</v>
      </c>
      <c r="E96" s="91">
        <v>5169</v>
      </c>
      <c r="F96" s="101" t="s">
        <v>9</v>
      </c>
      <c r="G96" s="93">
        <v>0</v>
      </c>
      <c r="H96" s="5">
        <f>23.595+16.94</f>
        <v>40.535</v>
      </c>
      <c r="I96" s="6"/>
      <c r="J96" s="145">
        <f>H96+I96</f>
        <v>40.535</v>
      </c>
    </row>
    <row r="97" spans="1:10" ht="12" customHeight="1" thickBot="1">
      <c r="A97" s="156"/>
      <c r="B97" s="95"/>
      <c r="C97" s="96" t="s">
        <v>62</v>
      </c>
      <c r="D97" s="55">
        <v>2212</v>
      </c>
      <c r="E97" s="97">
        <v>5171</v>
      </c>
      <c r="F97" s="98" t="s">
        <v>11</v>
      </c>
      <c r="G97" s="3">
        <v>0</v>
      </c>
      <c r="H97" s="2">
        <v>3773.652</v>
      </c>
      <c r="I97" s="2"/>
      <c r="J97" s="144">
        <f>H97+I97</f>
        <v>3773.652</v>
      </c>
    </row>
    <row r="98" spans="1:10" s="87" customFormat="1" ht="12" customHeight="1">
      <c r="A98" s="156"/>
      <c r="B98" s="13" t="s">
        <v>2</v>
      </c>
      <c r="C98" s="88" t="s">
        <v>89</v>
      </c>
      <c r="D98" s="65" t="s">
        <v>0</v>
      </c>
      <c r="E98" s="65" t="s">
        <v>0</v>
      </c>
      <c r="F98" s="66" t="s">
        <v>90</v>
      </c>
      <c r="G98" s="42">
        <f>SUM(G99:G101)</f>
        <v>0</v>
      </c>
      <c r="H98" s="11">
        <f>SUM(H99:H101)</f>
        <v>2598.464</v>
      </c>
      <c r="I98" s="42">
        <f>SUM(I99:I101)</f>
        <v>0</v>
      </c>
      <c r="J98" s="42">
        <f>SUM(J99:J101)</f>
        <v>2598.464</v>
      </c>
    </row>
    <row r="99" spans="1:10" s="87" customFormat="1" ht="12" customHeight="1">
      <c r="A99" s="156"/>
      <c r="B99" s="89"/>
      <c r="C99" s="107"/>
      <c r="D99" s="56">
        <v>2212</v>
      </c>
      <c r="E99" s="91">
        <v>5169</v>
      </c>
      <c r="F99" s="101" t="s">
        <v>9</v>
      </c>
      <c r="G99" s="93">
        <v>0</v>
      </c>
      <c r="H99" s="5">
        <f>20*1.21+2.5*1.21</f>
        <v>27.224999999999998</v>
      </c>
      <c r="I99" s="6"/>
      <c r="J99" s="94">
        <f>H99+I99</f>
        <v>27.224999999999998</v>
      </c>
    </row>
    <row r="100" spans="1:10" s="87" customFormat="1" ht="12" customHeight="1">
      <c r="A100" s="156"/>
      <c r="B100" s="89"/>
      <c r="C100" s="100" t="s">
        <v>62</v>
      </c>
      <c r="D100" s="56">
        <v>2212</v>
      </c>
      <c r="E100" s="91">
        <v>5169</v>
      </c>
      <c r="F100" s="101" t="s">
        <v>9</v>
      </c>
      <c r="G100" s="93">
        <v>0</v>
      </c>
      <c r="H100" s="5">
        <f>23.595+16.94</f>
        <v>40.535</v>
      </c>
      <c r="I100" s="6"/>
      <c r="J100" s="145">
        <f>H100+I100</f>
        <v>40.535</v>
      </c>
    </row>
    <row r="101" spans="1:10" ht="12" customHeight="1" thickBot="1">
      <c r="A101" s="156"/>
      <c r="B101" s="95"/>
      <c r="C101" s="96" t="s">
        <v>62</v>
      </c>
      <c r="D101" s="55">
        <v>2212</v>
      </c>
      <c r="E101" s="97">
        <v>5171</v>
      </c>
      <c r="F101" s="98" t="s">
        <v>11</v>
      </c>
      <c r="G101" s="3">
        <v>0</v>
      </c>
      <c r="H101" s="2">
        <v>2530.704</v>
      </c>
      <c r="I101" s="2"/>
      <c r="J101" s="144">
        <f>H101+I101</f>
        <v>2530.704</v>
      </c>
    </row>
    <row r="102" spans="1:10" s="87" customFormat="1" ht="12" customHeight="1">
      <c r="A102" s="156"/>
      <c r="B102" s="13" t="s">
        <v>2</v>
      </c>
      <c r="C102" s="88" t="s">
        <v>91</v>
      </c>
      <c r="D102" s="65" t="s">
        <v>0</v>
      </c>
      <c r="E102" s="65" t="s">
        <v>0</v>
      </c>
      <c r="F102" s="66" t="s">
        <v>92</v>
      </c>
      <c r="G102" s="42">
        <f>SUM(G103:G105)</f>
        <v>0</v>
      </c>
      <c r="H102" s="11">
        <f>SUM(H103:H105)</f>
        <v>12850.311</v>
      </c>
      <c r="I102" s="141">
        <f>SUM(I103:I105)</f>
        <v>-804.786</v>
      </c>
      <c r="J102" s="42">
        <f>SUM(J103:J105)</f>
        <v>12045.525</v>
      </c>
    </row>
    <row r="103" spans="1:10" s="87" customFormat="1" ht="12" customHeight="1">
      <c r="A103" s="156"/>
      <c r="B103" s="89"/>
      <c r="C103" s="107"/>
      <c r="D103" s="56">
        <v>2212</v>
      </c>
      <c r="E103" s="91">
        <v>5169</v>
      </c>
      <c r="F103" s="101" t="s">
        <v>9</v>
      </c>
      <c r="G103" s="93">
        <v>0</v>
      </c>
      <c r="H103" s="5">
        <f>20*1.21+2.5*1.21</f>
        <v>27.224999999999998</v>
      </c>
      <c r="I103" s="142"/>
      <c r="J103" s="94">
        <f>H103+I103</f>
        <v>27.224999999999998</v>
      </c>
    </row>
    <row r="104" spans="1:10" s="87" customFormat="1" ht="12" customHeight="1">
      <c r="A104" s="156"/>
      <c r="B104" s="89"/>
      <c r="C104" s="100" t="s">
        <v>62</v>
      </c>
      <c r="D104" s="56">
        <v>2212</v>
      </c>
      <c r="E104" s="91">
        <v>5169</v>
      </c>
      <c r="F104" s="101" t="s">
        <v>9</v>
      </c>
      <c r="G104" s="93">
        <v>0</v>
      </c>
      <c r="H104" s="5">
        <f>109.384+66.55</f>
        <v>175.934</v>
      </c>
      <c r="I104" s="142"/>
      <c r="J104" s="145">
        <f>H104+I104</f>
        <v>175.934</v>
      </c>
    </row>
    <row r="105" spans="1:10" ht="12" customHeight="1" thickBot="1">
      <c r="A105" s="156"/>
      <c r="B105" s="95"/>
      <c r="C105" s="96" t="s">
        <v>62</v>
      </c>
      <c r="D105" s="55">
        <v>2212</v>
      </c>
      <c r="E105" s="97">
        <v>5171</v>
      </c>
      <c r="F105" s="98" t="s">
        <v>11</v>
      </c>
      <c r="G105" s="3">
        <v>0</v>
      </c>
      <c r="H105" s="2">
        <v>12647.152</v>
      </c>
      <c r="I105" s="140">
        <f>-804.786</f>
        <v>-804.786</v>
      </c>
      <c r="J105" s="144">
        <f>H105+I105</f>
        <v>11842.366</v>
      </c>
    </row>
    <row r="106" spans="1:10" s="87" customFormat="1" ht="12" customHeight="1">
      <c r="A106" s="156"/>
      <c r="B106" s="13" t="s">
        <v>2</v>
      </c>
      <c r="C106" s="88" t="s">
        <v>93</v>
      </c>
      <c r="D106" s="65" t="s">
        <v>0</v>
      </c>
      <c r="E106" s="65" t="s">
        <v>0</v>
      </c>
      <c r="F106" s="66" t="s">
        <v>94</v>
      </c>
      <c r="G106" s="42">
        <f>SUM(G107:G109)</f>
        <v>0</v>
      </c>
      <c r="H106" s="11">
        <f>SUM(H107:H109)</f>
        <v>2387.426</v>
      </c>
      <c r="I106" s="42">
        <f>SUM(I107:I109)</f>
        <v>0</v>
      </c>
      <c r="J106" s="42">
        <f>SUM(J107:J109)</f>
        <v>2387.426</v>
      </c>
    </row>
    <row r="107" spans="1:10" s="87" customFormat="1" ht="12" customHeight="1">
      <c r="A107" s="156"/>
      <c r="B107" s="89"/>
      <c r="C107" s="107"/>
      <c r="D107" s="56">
        <v>2212</v>
      </c>
      <c r="E107" s="91">
        <v>5169</v>
      </c>
      <c r="F107" s="101" t="s">
        <v>9</v>
      </c>
      <c r="G107" s="93">
        <v>0</v>
      </c>
      <c r="H107" s="5">
        <f>20*1.21+2.5*1.21</f>
        <v>27.224999999999998</v>
      </c>
      <c r="I107" s="6"/>
      <c r="J107" s="94">
        <f>H107+I107</f>
        <v>27.224999999999998</v>
      </c>
    </row>
    <row r="108" spans="1:10" s="87" customFormat="1" ht="12" customHeight="1">
      <c r="A108" s="156"/>
      <c r="B108" s="89"/>
      <c r="C108" s="100" t="s">
        <v>62</v>
      </c>
      <c r="D108" s="56">
        <v>2212</v>
      </c>
      <c r="E108" s="91">
        <v>5169</v>
      </c>
      <c r="F108" s="101" t="s">
        <v>9</v>
      </c>
      <c r="G108" s="93">
        <v>0</v>
      </c>
      <c r="H108" s="5">
        <f>31.158+33.275</f>
        <v>64.43299999999999</v>
      </c>
      <c r="I108" s="6"/>
      <c r="J108" s="145">
        <f>H108+I108</f>
        <v>64.43299999999999</v>
      </c>
    </row>
    <row r="109" spans="1:10" ht="12" customHeight="1" thickBot="1">
      <c r="A109" s="156"/>
      <c r="B109" s="95"/>
      <c r="C109" s="96" t="s">
        <v>62</v>
      </c>
      <c r="D109" s="46">
        <v>2212</v>
      </c>
      <c r="E109" s="110">
        <v>5171</v>
      </c>
      <c r="F109" s="61" t="s">
        <v>11</v>
      </c>
      <c r="G109" s="3">
        <v>0</v>
      </c>
      <c r="H109" s="2">
        <v>2295.768</v>
      </c>
      <c r="I109" s="2"/>
      <c r="J109" s="140">
        <f>H109+I109</f>
        <v>2295.768</v>
      </c>
    </row>
    <row r="110" spans="1:10" ht="12" customHeight="1">
      <c r="A110" s="156"/>
      <c r="B110" s="13" t="s">
        <v>2</v>
      </c>
      <c r="C110" s="59" t="s">
        <v>95</v>
      </c>
      <c r="D110" s="65" t="s">
        <v>0</v>
      </c>
      <c r="E110" s="65" t="s">
        <v>0</v>
      </c>
      <c r="F110" s="66" t="s">
        <v>96</v>
      </c>
      <c r="G110" s="42">
        <f>SUM(G111:G112)</f>
        <v>0</v>
      </c>
      <c r="H110" s="11">
        <f>SUM(H111:H112)</f>
        <v>65.945</v>
      </c>
      <c r="I110" s="42">
        <f>SUM(I111:I112)</f>
        <v>0</v>
      </c>
      <c r="J110" s="42">
        <f>SUM(J111:J112)</f>
        <v>65.945</v>
      </c>
    </row>
    <row r="111" spans="1:10" ht="12" customHeight="1">
      <c r="A111" s="156"/>
      <c r="B111" s="67"/>
      <c r="C111" s="68"/>
      <c r="D111" s="56">
        <v>2212</v>
      </c>
      <c r="E111" s="91">
        <v>5169</v>
      </c>
      <c r="F111" s="101" t="s">
        <v>9</v>
      </c>
      <c r="G111" s="5">
        <v>0</v>
      </c>
      <c r="H111" s="5">
        <v>9.892</v>
      </c>
      <c r="I111" s="5"/>
      <c r="J111" s="5">
        <f>H111+I111</f>
        <v>9.892</v>
      </c>
    </row>
    <row r="112" spans="1:10" ht="12" customHeight="1" thickBot="1">
      <c r="A112" s="156"/>
      <c r="B112" s="79"/>
      <c r="C112" s="111" t="s">
        <v>62</v>
      </c>
      <c r="D112" s="56">
        <v>2212</v>
      </c>
      <c r="E112" s="91">
        <v>5169</v>
      </c>
      <c r="F112" s="101" t="s">
        <v>9</v>
      </c>
      <c r="G112" s="4">
        <v>0</v>
      </c>
      <c r="H112" s="2">
        <v>56.053</v>
      </c>
      <c r="I112" s="2"/>
      <c r="J112" s="143">
        <f>H112+I112</f>
        <v>56.053</v>
      </c>
    </row>
    <row r="113" spans="1:10" ht="12" customHeight="1">
      <c r="A113" s="156"/>
      <c r="B113" s="13" t="s">
        <v>2</v>
      </c>
      <c r="C113" s="59" t="s">
        <v>97</v>
      </c>
      <c r="D113" s="65" t="s">
        <v>0</v>
      </c>
      <c r="E113" s="65" t="s">
        <v>0</v>
      </c>
      <c r="F113" s="66" t="s">
        <v>98</v>
      </c>
      <c r="G113" s="42">
        <f>SUM(G114:G115)</f>
        <v>0</v>
      </c>
      <c r="H113" s="11">
        <f>SUM(H114:H115)</f>
        <v>65.945</v>
      </c>
      <c r="I113" s="42">
        <f>SUM(I114:I115)</f>
        <v>0</v>
      </c>
      <c r="J113" s="42">
        <f>SUM(J114:J115)</f>
        <v>65.945</v>
      </c>
    </row>
    <row r="114" spans="1:10" ht="12" customHeight="1">
      <c r="A114" s="156"/>
      <c r="B114" s="67"/>
      <c r="C114" s="68"/>
      <c r="D114" s="56">
        <v>2212</v>
      </c>
      <c r="E114" s="91">
        <v>5169</v>
      </c>
      <c r="F114" s="101" t="s">
        <v>9</v>
      </c>
      <c r="G114" s="5">
        <v>0</v>
      </c>
      <c r="H114" s="5">
        <v>9.892</v>
      </c>
      <c r="I114" s="5"/>
      <c r="J114" s="5">
        <f>H114+I114</f>
        <v>9.892</v>
      </c>
    </row>
    <row r="115" spans="1:10" ht="12" customHeight="1" thickBot="1">
      <c r="A115" s="156"/>
      <c r="B115" s="79"/>
      <c r="C115" s="111" t="s">
        <v>62</v>
      </c>
      <c r="D115" s="56">
        <v>2212</v>
      </c>
      <c r="E115" s="91">
        <v>5169</v>
      </c>
      <c r="F115" s="101" t="s">
        <v>9</v>
      </c>
      <c r="G115" s="4">
        <v>0</v>
      </c>
      <c r="H115" s="2">
        <v>56.053</v>
      </c>
      <c r="I115" s="2"/>
      <c r="J115" s="143">
        <f>H115+I115</f>
        <v>56.053</v>
      </c>
    </row>
    <row r="116" spans="1:10" ht="12" customHeight="1">
      <c r="A116" s="156"/>
      <c r="B116" s="13" t="s">
        <v>2</v>
      </c>
      <c r="C116" s="59" t="s">
        <v>99</v>
      </c>
      <c r="D116" s="65" t="s">
        <v>0</v>
      </c>
      <c r="E116" s="65" t="s">
        <v>0</v>
      </c>
      <c r="F116" s="66" t="s">
        <v>100</v>
      </c>
      <c r="G116" s="42">
        <f>SUM(G117:G118)</f>
        <v>0</v>
      </c>
      <c r="H116" s="11">
        <f>SUM(H117:H118)</f>
        <v>59.894999999999996</v>
      </c>
      <c r="I116" s="42">
        <f>SUM(I117:I118)</f>
        <v>0</v>
      </c>
      <c r="J116" s="42">
        <f>SUM(J117:J118)</f>
        <v>59.894999999999996</v>
      </c>
    </row>
    <row r="117" spans="1:10" ht="12" customHeight="1">
      <c r="A117" s="156"/>
      <c r="B117" s="67"/>
      <c r="C117" s="68"/>
      <c r="D117" s="56">
        <v>2212</v>
      </c>
      <c r="E117" s="91">
        <v>5169</v>
      </c>
      <c r="F117" s="101" t="s">
        <v>9</v>
      </c>
      <c r="G117" s="5">
        <v>0</v>
      </c>
      <c r="H117" s="5">
        <v>8.9845</v>
      </c>
      <c r="I117" s="5"/>
      <c r="J117" s="5">
        <f>H117+I117</f>
        <v>8.9845</v>
      </c>
    </row>
    <row r="118" spans="1:10" ht="12" customHeight="1" thickBot="1">
      <c r="A118" s="156"/>
      <c r="B118" s="79"/>
      <c r="C118" s="111" t="s">
        <v>62</v>
      </c>
      <c r="D118" s="56">
        <v>2212</v>
      </c>
      <c r="E118" s="91">
        <v>5169</v>
      </c>
      <c r="F118" s="101" t="s">
        <v>9</v>
      </c>
      <c r="G118" s="4">
        <v>0</v>
      </c>
      <c r="H118" s="2">
        <v>50.9105</v>
      </c>
      <c r="I118" s="2"/>
      <c r="J118" s="143">
        <f>H118+I118</f>
        <v>50.9105</v>
      </c>
    </row>
    <row r="119" spans="1:10" ht="12" customHeight="1">
      <c r="A119" s="156"/>
      <c r="B119" s="13" t="s">
        <v>2</v>
      </c>
      <c r="C119" s="59" t="s">
        <v>101</v>
      </c>
      <c r="D119" s="65" t="s">
        <v>0</v>
      </c>
      <c r="E119" s="65" t="s">
        <v>0</v>
      </c>
      <c r="F119" s="66" t="s">
        <v>102</v>
      </c>
      <c r="G119" s="42">
        <f>SUM(G120:G122)</f>
        <v>0</v>
      </c>
      <c r="H119" s="11">
        <f>SUM(H120:H122)</f>
        <v>788.378</v>
      </c>
      <c r="I119" s="42">
        <f>SUM(I120:I122)</f>
        <v>0</v>
      </c>
      <c r="J119" s="42">
        <f>SUM(J120:J122)</f>
        <v>788.378</v>
      </c>
    </row>
    <row r="120" spans="1:10" ht="12" customHeight="1">
      <c r="A120" s="156"/>
      <c r="B120" s="67"/>
      <c r="C120" s="68"/>
      <c r="D120" s="56">
        <v>2212</v>
      </c>
      <c r="E120" s="91">
        <v>5169</v>
      </c>
      <c r="F120" s="101" t="s">
        <v>9</v>
      </c>
      <c r="G120" s="5">
        <v>0</v>
      </c>
      <c r="H120" s="5">
        <v>8.9845</v>
      </c>
      <c r="I120" s="5"/>
      <c r="J120" s="5">
        <f>H120+I120</f>
        <v>8.9845</v>
      </c>
    </row>
    <row r="121" spans="1:10" ht="12" customHeight="1">
      <c r="A121" s="156"/>
      <c r="B121" s="67"/>
      <c r="C121" s="100" t="s">
        <v>62</v>
      </c>
      <c r="D121" s="56">
        <v>2212</v>
      </c>
      <c r="E121" s="91">
        <v>5169</v>
      </c>
      <c r="F121" s="101" t="s">
        <v>9</v>
      </c>
      <c r="G121" s="5">
        <v>0</v>
      </c>
      <c r="H121" s="5">
        <f>50.9105+15.579+13.612</f>
        <v>80.10149999999999</v>
      </c>
      <c r="I121" s="5"/>
      <c r="J121" s="143">
        <f>H121+I121</f>
        <v>80.10149999999999</v>
      </c>
    </row>
    <row r="122" spans="1:10" ht="12" customHeight="1" thickBot="1">
      <c r="A122" s="156"/>
      <c r="B122" s="112"/>
      <c r="C122" s="75"/>
      <c r="D122" s="113">
        <v>2212</v>
      </c>
      <c r="E122" s="114">
        <v>5171</v>
      </c>
      <c r="F122" s="115" t="s">
        <v>11</v>
      </c>
      <c r="G122" s="6">
        <v>0</v>
      </c>
      <c r="H122" s="2">
        <f>724.393-25.101</f>
        <v>699.292</v>
      </c>
      <c r="I122" s="2"/>
      <c r="J122" s="6">
        <f>H122+I122</f>
        <v>699.292</v>
      </c>
    </row>
    <row r="123" spans="1:10" ht="12" customHeight="1">
      <c r="A123" s="156"/>
      <c r="B123" s="13" t="s">
        <v>2</v>
      </c>
      <c r="C123" s="59" t="s">
        <v>103</v>
      </c>
      <c r="D123" s="65" t="s">
        <v>0</v>
      </c>
      <c r="E123" s="65" t="s">
        <v>0</v>
      </c>
      <c r="F123" s="66" t="s">
        <v>104</v>
      </c>
      <c r="G123" s="42">
        <f>SUM(G124:G126)</f>
        <v>0</v>
      </c>
      <c r="H123" s="11">
        <f>SUM(H124:H126)</f>
        <v>1089.999</v>
      </c>
      <c r="I123" s="42">
        <f>SUM(I124:I126)</f>
        <v>0</v>
      </c>
      <c r="J123" s="42">
        <f>SUM(J124:J126)</f>
        <v>1089.999</v>
      </c>
    </row>
    <row r="124" spans="1:10" ht="12" customHeight="1">
      <c r="A124" s="156"/>
      <c r="B124" s="67"/>
      <c r="C124" s="68"/>
      <c r="D124" s="56">
        <v>2212</v>
      </c>
      <c r="E124" s="91">
        <v>5169</v>
      </c>
      <c r="F124" s="101" t="s">
        <v>9</v>
      </c>
      <c r="G124" s="5">
        <v>0</v>
      </c>
      <c r="H124" s="5">
        <v>9.892</v>
      </c>
      <c r="I124" s="5"/>
      <c r="J124" s="5">
        <f>H124+I124</f>
        <v>9.892</v>
      </c>
    </row>
    <row r="125" spans="1:10" ht="12" customHeight="1">
      <c r="A125" s="156"/>
      <c r="B125" s="116"/>
      <c r="C125" s="100" t="s">
        <v>62</v>
      </c>
      <c r="D125" s="56">
        <v>2212</v>
      </c>
      <c r="E125" s="91">
        <v>5169</v>
      </c>
      <c r="F125" s="101" t="s">
        <v>9</v>
      </c>
      <c r="G125" s="5">
        <v>0</v>
      </c>
      <c r="H125" s="5">
        <f>56.053+36.3+40.559</f>
        <v>132.91199999999998</v>
      </c>
      <c r="I125" s="5"/>
      <c r="J125" s="143">
        <f>H125+I125</f>
        <v>132.91199999999998</v>
      </c>
    </row>
    <row r="126" spans="1:10" ht="12" customHeight="1" thickBot="1">
      <c r="A126" s="156"/>
      <c r="B126" s="117"/>
      <c r="C126" s="75"/>
      <c r="D126" s="113">
        <v>2212</v>
      </c>
      <c r="E126" s="114">
        <v>5171</v>
      </c>
      <c r="F126" s="115" t="s">
        <v>11</v>
      </c>
      <c r="G126" s="4">
        <v>0</v>
      </c>
      <c r="H126" s="2">
        <v>947.195</v>
      </c>
      <c r="I126" s="2"/>
      <c r="J126" s="6">
        <f>H126+I126</f>
        <v>947.195</v>
      </c>
    </row>
    <row r="127" spans="1:10" ht="12" customHeight="1">
      <c r="A127" s="156"/>
      <c r="B127" s="13" t="s">
        <v>2</v>
      </c>
      <c r="C127" s="59" t="s">
        <v>105</v>
      </c>
      <c r="D127" s="65" t="s">
        <v>0</v>
      </c>
      <c r="E127" s="65" t="s">
        <v>0</v>
      </c>
      <c r="F127" s="66" t="s">
        <v>106</v>
      </c>
      <c r="G127" s="42">
        <f>SUM(G128:G131)</f>
        <v>0</v>
      </c>
      <c r="H127" s="42">
        <f>SUM(H128:H131)</f>
        <v>784.266</v>
      </c>
      <c r="I127" s="42">
        <f>SUM(I128:I131)</f>
        <v>0</v>
      </c>
      <c r="J127" s="42">
        <f>SUM(J128:J131)</f>
        <v>784.266</v>
      </c>
    </row>
    <row r="128" spans="1:10" ht="12" customHeight="1">
      <c r="A128" s="156"/>
      <c r="B128" s="67"/>
      <c r="C128" s="68"/>
      <c r="D128" s="56">
        <v>2212</v>
      </c>
      <c r="E128" s="91">
        <v>5169</v>
      </c>
      <c r="F128" s="101" t="s">
        <v>9</v>
      </c>
      <c r="G128" s="5">
        <v>0</v>
      </c>
      <c r="H128" s="5">
        <v>8.9845</v>
      </c>
      <c r="I128" s="5"/>
      <c r="J128" s="5">
        <f>H128+I128</f>
        <v>8.9845</v>
      </c>
    </row>
    <row r="129" spans="1:10" ht="12" customHeight="1">
      <c r="A129" s="156"/>
      <c r="B129" s="67"/>
      <c r="C129" s="100" t="s">
        <v>62</v>
      </c>
      <c r="D129" s="56">
        <v>2212</v>
      </c>
      <c r="E129" s="91">
        <v>5169</v>
      </c>
      <c r="F129" s="101" t="s">
        <v>9</v>
      </c>
      <c r="G129" s="5">
        <v>0</v>
      </c>
      <c r="H129" s="5">
        <f>50.9105+15.579+13.613</f>
        <v>80.10249999999999</v>
      </c>
      <c r="I129" s="5"/>
      <c r="J129" s="143">
        <f>H129+I129</f>
        <v>80.10249999999999</v>
      </c>
    </row>
    <row r="130" spans="1:10" ht="12" customHeight="1">
      <c r="A130" s="156"/>
      <c r="B130" s="116"/>
      <c r="C130" s="68"/>
      <c r="D130" s="56">
        <v>2212</v>
      </c>
      <c r="E130" s="91">
        <v>5171</v>
      </c>
      <c r="F130" s="92" t="s">
        <v>11</v>
      </c>
      <c r="G130" s="5">
        <v>0</v>
      </c>
      <c r="H130" s="5">
        <v>695.179</v>
      </c>
      <c r="I130" s="143">
        <v>-695.179</v>
      </c>
      <c r="J130" s="5">
        <f>H130+I130</f>
        <v>0</v>
      </c>
    </row>
    <row r="131" spans="1:10" ht="12" customHeight="1" thickBot="1">
      <c r="A131" s="156"/>
      <c r="B131" s="95"/>
      <c r="C131" s="96" t="s">
        <v>62</v>
      </c>
      <c r="D131" s="55">
        <v>2212</v>
      </c>
      <c r="E131" s="97">
        <v>5171</v>
      </c>
      <c r="F131" s="98" t="s">
        <v>11</v>
      </c>
      <c r="G131" s="3">
        <v>0</v>
      </c>
      <c r="H131" s="3">
        <v>0</v>
      </c>
      <c r="I131" s="144">
        <v>695.179</v>
      </c>
      <c r="J131" s="144">
        <f>H131+I131</f>
        <v>695.179</v>
      </c>
    </row>
    <row r="132" spans="1:10" ht="12" customHeight="1">
      <c r="A132" s="156"/>
      <c r="B132" s="13" t="s">
        <v>2</v>
      </c>
      <c r="C132" s="59" t="s">
        <v>107</v>
      </c>
      <c r="D132" s="65" t="s">
        <v>0</v>
      </c>
      <c r="E132" s="65" t="s">
        <v>0</v>
      </c>
      <c r="F132" s="66" t="s">
        <v>108</v>
      </c>
      <c r="G132" s="42">
        <f>SUM(G133:G134)</f>
        <v>0</v>
      </c>
      <c r="H132" s="11">
        <f>SUM(H133:H134)</f>
        <v>65.945</v>
      </c>
      <c r="I132" s="42">
        <f>SUM(I133:I134)</f>
        <v>0</v>
      </c>
      <c r="J132" s="42">
        <f>SUM(J133:J134)</f>
        <v>65.945</v>
      </c>
    </row>
    <row r="133" spans="1:10" ht="12" customHeight="1">
      <c r="A133" s="156"/>
      <c r="B133" s="67"/>
      <c r="C133" s="68"/>
      <c r="D133" s="56">
        <v>2212</v>
      </c>
      <c r="E133" s="91">
        <v>5169</v>
      </c>
      <c r="F133" s="101" t="s">
        <v>9</v>
      </c>
      <c r="G133" s="5">
        <v>0</v>
      </c>
      <c r="H133" s="5">
        <v>9.892</v>
      </c>
      <c r="I133" s="5"/>
      <c r="J133" s="5">
        <f>H133+I133</f>
        <v>9.892</v>
      </c>
    </row>
    <row r="134" spans="1:10" ht="12" customHeight="1" thickBot="1">
      <c r="A134" s="156"/>
      <c r="B134" s="108"/>
      <c r="C134" s="109" t="s">
        <v>62</v>
      </c>
      <c r="D134" s="46">
        <v>2212</v>
      </c>
      <c r="E134" s="110">
        <v>5169</v>
      </c>
      <c r="F134" s="119" t="s">
        <v>9</v>
      </c>
      <c r="G134" s="2">
        <v>0</v>
      </c>
      <c r="H134" s="2">
        <v>56.053</v>
      </c>
      <c r="I134" s="2"/>
      <c r="J134" s="140">
        <f>H134+I134</f>
        <v>56.053</v>
      </c>
    </row>
    <row r="135" spans="1:10" ht="12" customHeight="1">
      <c r="A135" s="156"/>
      <c r="B135" s="13" t="s">
        <v>2</v>
      </c>
      <c r="C135" s="59" t="s">
        <v>109</v>
      </c>
      <c r="D135" s="65" t="s">
        <v>0</v>
      </c>
      <c r="E135" s="65" t="s">
        <v>0</v>
      </c>
      <c r="F135" s="66" t="s">
        <v>110</v>
      </c>
      <c r="G135" s="42">
        <f>SUM(G136:G138)</f>
        <v>0</v>
      </c>
      <c r="H135" s="11">
        <f>SUM(H136:H138)</f>
        <v>1071.018</v>
      </c>
      <c r="I135" s="42">
        <f>SUM(I136:I138)</f>
        <v>0</v>
      </c>
      <c r="J135" s="42">
        <f>SUM(J136:J138)</f>
        <v>1071.018</v>
      </c>
    </row>
    <row r="136" spans="1:10" ht="12" customHeight="1">
      <c r="A136" s="156"/>
      <c r="B136" s="67"/>
      <c r="C136" s="68"/>
      <c r="D136" s="56">
        <v>2212</v>
      </c>
      <c r="E136" s="91">
        <v>5169</v>
      </c>
      <c r="F136" s="101" t="s">
        <v>9</v>
      </c>
      <c r="G136" s="5">
        <v>0</v>
      </c>
      <c r="H136" s="5">
        <v>8.9845</v>
      </c>
      <c r="I136" s="5"/>
      <c r="J136" s="5">
        <f>H136+I136</f>
        <v>8.9845</v>
      </c>
    </row>
    <row r="137" spans="1:10" ht="12" customHeight="1">
      <c r="A137" s="156"/>
      <c r="B137" s="67"/>
      <c r="C137" s="100" t="s">
        <v>62</v>
      </c>
      <c r="D137" s="56">
        <v>2212</v>
      </c>
      <c r="E137" s="91">
        <v>5169</v>
      </c>
      <c r="F137" s="101" t="s">
        <v>9</v>
      </c>
      <c r="G137" s="5">
        <v>0</v>
      </c>
      <c r="H137" s="5">
        <f>50.9105+16.311+20.207</f>
        <v>87.42849999999999</v>
      </c>
      <c r="I137" s="5"/>
      <c r="J137" s="143">
        <f>H137+I137</f>
        <v>87.42849999999999</v>
      </c>
    </row>
    <row r="138" spans="1:10" ht="12" customHeight="1" thickBot="1">
      <c r="A138" s="156"/>
      <c r="B138" s="95"/>
      <c r="C138" s="96" t="s">
        <v>62</v>
      </c>
      <c r="D138" s="55">
        <v>2212</v>
      </c>
      <c r="E138" s="97">
        <v>5171</v>
      </c>
      <c r="F138" s="98" t="s">
        <v>11</v>
      </c>
      <c r="G138" s="3">
        <v>0</v>
      </c>
      <c r="H138" s="2">
        <v>974.605</v>
      </c>
      <c r="I138" s="2"/>
      <c r="J138" s="144">
        <f>H138+I138</f>
        <v>974.605</v>
      </c>
    </row>
    <row r="139" spans="1:10" ht="12" customHeight="1">
      <c r="A139" s="156"/>
      <c r="B139" s="13" t="s">
        <v>2</v>
      </c>
      <c r="C139" s="59" t="s">
        <v>111</v>
      </c>
      <c r="D139" s="65" t="s">
        <v>0</v>
      </c>
      <c r="E139" s="65" t="s">
        <v>0</v>
      </c>
      <c r="F139" s="66" t="s">
        <v>112</v>
      </c>
      <c r="G139" s="42">
        <f>SUM(G140:G141)</f>
        <v>0</v>
      </c>
      <c r="H139" s="11">
        <f>SUM(H140:H141)</f>
        <v>65.945</v>
      </c>
      <c r="I139" s="42">
        <f>SUM(I140:I141)</f>
        <v>0</v>
      </c>
      <c r="J139" s="42">
        <f>SUM(J140:J141)</f>
        <v>65.945</v>
      </c>
    </row>
    <row r="140" spans="1:10" ht="12" customHeight="1">
      <c r="A140" s="156"/>
      <c r="B140" s="67"/>
      <c r="C140" s="68"/>
      <c r="D140" s="56">
        <v>2212</v>
      </c>
      <c r="E140" s="91">
        <v>5169</v>
      </c>
      <c r="F140" s="101" t="s">
        <v>9</v>
      </c>
      <c r="G140" s="5">
        <v>0</v>
      </c>
      <c r="H140" s="5">
        <v>9.892</v>
      </c>
      <c r="I140" s="5"/>
      <c r="J140" s="5">
        <f>H140+I140</f>
        <v>9.892</v>
      </c>
    </row>
    <row r="141" spans="1:10" ht="12" customHeight="1" thickBot="1">
      <c r="A141" s="156"/>
      <c r="B141" s="79"/>
      <c r="C141" s="111" t="s">
        <v>62</v>
      </c>
      <c r="D141" s="56">
        <v>2212</v>
      </c>
      <c r="E141" s="91">
        <v>5169</v>
      </c>
      <c r="F141" s="101" t="s">
        <v>9</v>
      </c>
      <c r="G141" s="4">
        <v>0</v>
      </c>
      <c r="H141" s="2">
        <v>56.053</v>
      </c>
      <c r="I141" s="2"/>
      <c r="J141" s="143">
        <f>H141+I141</f>
        <v>56.053</v>
      </c>
    </row>
    <row r="142" spans="1:10" ht="12" customHeight="1">
      <c r="A142" s="156"/>
      <c r="B142" s="13" t="s">
        <v>2</v>
      </c>
      <c r="C142" s="59" t="s">
        <v>113</v>
      </c>
      <c r="D142" s="65" t="s">
        <v>0</v>
      </c>
      <c r="E142" s="65" t="s">
        <v>0</v>
      </c>
      <c r="F142" s="66" t="s">
        <v>114</v>
      </c>
      <c r="G142" s="42">
        <f>SUM(G143:G145)</f>
        <v>0</v>
      </c>
      <c r="H142" s="11">
        <f>SUM(H143:H145)</f>
        <v>2172.6870000000004</v>
      </c>
      <c r="I142" s="42">
        <f>SUM(I143:I145)</f>
        <v>0</v>
      </c>
      <c r="J142" s="42">
        <f>SUM(J143:J145)</f>
        <v>2172.6870000000004</v>
      </c>
    </row>
    <row r="143" spans="1:10" ht="12" customHeight="1">
      <c r="A143" s="156"/>
      <c r="B143" s="67"/>
      <c r="C143" s="68"/>
      <c r="D143" s="56">
        <v>2212</v>
      </c>
      <c r="E143" s="91">
        <v>5169</v>
      </c>
      <c r="F143" s="101" t="s">
        <v>9</v>
      </c>
      <c r="G143" s="5">
        <v>0</v>
      </c>
      <c r="H143" s="5">
        <v>9.892</v>
      </c>
      <c r="I143" s="5"/>
      <c r="J143" s="5">
        <f>H143+I143</f>
        <v>9.892</v>
      </c>
    </row>
    <row r="144" spans="1:10" ht="12" customHeight="1">
      <c r="A144" s="156"/>
      <c r="B144" s="67"/>
      <c r="C144" s="100" t="s">
        <v>62</v>
      </c>
      <c r="D144" s="56">
        <v>2212</v>
      </c>
      <c r="E144" s="91">
        <v>5169</v>
      </c>
      <c r="F144" s="101" t="s">
        <v>9</v>
      </c>
      <c r="G144" s="5">
        <v>0</v>
      </c>
      <c r="H144" s="5">
        <f>56.053+16.311+20.207</f>
        <v>92.571</v>
      </c>
      <c r="I144" s="5"/>
      <c r="J144" s="143">
        <f>H144+I144</f>
        <v>92.571</v>
      </c>
    </row>
    <row r="145" spans="1:10" ht="12" customHeight="1" thickBot="1">
      <c r="A145" s="156"/>
      <c r="B145" s="95"/>
      <c r="C145" s="75"/>
      <c r="D145" s="55">
        <v>2212</v>
      </c>
      <c r="E145" s="97">
        <v>5171</v>
      </c>
      <c r="F145" s="98" t="s">
        <v>11</v>
      </c>
      <c r="G145" s="3">
        <v>0</v>
      </c>
      <c r="H145" s="2">
        <v>2070.224</v>
      </c>
      <c r="I145" s="2"/>
      <c r="J145" s="3">
        <f>H145+I145</f>
        <v>2070.224</v>
      </c>
    </row>
    <row r="146" spans="1:10" ht="12" customHeight="1">
      <c r="A146" s="156"/>
      <c r="B146" s="13" t="s">
        <v>2</v>
      </c>
      <c r="C146" s="59" t="s">
        <v>115</v>
      </c>
      <c r="D146" s="65" t="s">
        <v>0</v>
      </c>
      <c r="E146" s="65" t="s">
        <v>0</v>
      </c>
      <c r="F146" s="66" t="s">
        <v>116</v>
      </c>
      <c r="G146" s="42">
        <f>SUM(G147:G149)</f>
        <v>0</v>
      </c>
      <c r="H146" s="11">
        <f>SUM(H147:H149)</f>
        <v>668.235</v>
      </c>
      <c r="I146" s="42">
        <f>SUM(I147:I149)</f>
        <v>0</v>
      </c>
      <c r="J146" s="42">
        <f>SUM(J147:J149)</f>
        <v>668.235</v>
      </c>
    </row>
    <row r="147" spans="1:10" ht="12" customHeight="1">
      <c r="A147" s="156"/>
      <c r="B147" s="67"/>
      <c r="C147" s="68"/>
      <c r="D147" s="56">
        <v>2212</v>
      </c>
      <c r="E147" s="91">
        <v>5169</v>
      </c>
      <c r="F147" s="101" t="s">
        <v>9</v>
      </c>
      <c r="G147" s="5">
        <v>0</v>
      </c>
      <c r="H147" s="5">
        <v>8.9845</v>
      </c>
      <c r="I147" s="5"/>
      <c r="J147" s="5">
        <f>H147+I147</f>
        <v>8.9845</v>
      </c>
    </row>
    <row r="148" spans="1:10" ht="12" customHeight="1">
      <c r="A148" s="156"/>
      <c r="B148" s="67"/>
      <c r="C148" s="120" t="s">
        <v>62</v>
      </c>
      <c r="D148" s="56">
        <v>2212</v>
      </c>
      <c r="E148" s="91">
        <v>5169</v>
      </c>
      <c r="F148" s="101" t="s">
        <v>9</v>
      </c>
      <c r="G148" s="6">
        <v>0</v>
      </c>
      <c r="H148" s="5">
        <f>50.9105+13.6+20.207</f>
        <v>84.7175</v>
      </c>
      <c r="I148" s="5"/>
      <c r="J148" s="143">
        <f>H148+I148</f>
        <v>84.7175</v>
      </c>
    </row>
    <row r="149" spans="1:10" ht="12" customHeight="1" thickBot="1">
      <c r="A149" s="156"/>
      <c r="B149" s="95"/>
      <c r="C149" s="75"/>
      <c r="D149" s="55">
        <v>2212</v>
      </c>
      <c r="E149" s="97">
        <v>5171</v>
      </c>
      <c r="F149" s="98" t="s">
        <v>11</v>
      </c>
      <c r="G149" s="3">
        <v>0</v>
      </c>
      <c r="H149" s="2">
        <v>574.533</v>
      </c>
      <c r="I149" s="2"/>
      <c r="J149" s="3">
        <f>H149+I149</f>
        <v>574.533</v>
      </c>
    </row>
    <row r="150" spans="1:10" ht="12" customHeight="1">
      <c r="A150" s="156"/>
      <c r="B150" s="13" t="s">
        <v>2</v>
      </c>
      <c r="C150" s="59" t="s">
        <v>117</v>
      </c>
      <c r="D150" s="65" t="s">
        <v>0</v>
      </c>
      <c r="E150" s="65" t="s">
        <v>0</v>
      </c>
      <c r="F150" s="66" t="s">
        <v>118</v>
      </c>
      <c r="G150" s="42">
        <f>SUM(G151:G153)</f>
        <v>0</v>
      </c>
      <c r="H150" s="11">
        <f>SUM(H151:H153)</f>
        <v>914.338</v>
      </c>
      <c r="I150" s="42">
        <f>SUM(I151:I153)</f>
        <v>0</v>
      </c>
      <c r="J150" s="42">
        <f>SUM(J151:J153)</f>
        <v>914.338</v>
      </c>
    </row>
    <row r="151" spans="1:10" ht="12" customHeight="1">
      <c r="A151" s="156"/>
      <c r="B151" s="67"/>
      <c r="C151" s="68"/>
      <c r="D151" s="56">
        <v>2212</v>
      </c>
      <c r="E151" s="91">
        <v>5169</v>
      </c>
      <c r="F151" s="101" t="s">
        <v>9</v>
      </c>
      <c r="G151" s="5">
        <v>0</v>
      </c>
      <c r="H151" s="5">
        <v>11.707</v>
      </c>
      <c r="I151" s="5"/>
      <c r="J151" s="5">
        <f>H151+I151</f>
        <v>11.707</v>
      </c>
    </row>
    <row r="152" spans="1:10" ht="12" customHeight="1">
      <c r="A152" s="156"/>
      <c r="B152" s="67"/>
      <c r="C152" s="100" t="s">
        <v>62</v>
      </c>
      <c r="D152" s="56">
        <v>2212</v>
      </c>
      <c r="E152" s="91">
        <v>5169</v>
      </c>
      <c r="F152" s="101" t="s">
        <v>9</v>
      </c>
      <c r="G152" s="5">
        <v>0</v>
      </c>
      <c r="H152" s="5">
        <f>66.338+11.797+8.47</f>
        <v>86.60499999999999</v>
      </c>
      <c r="I152" s="5"/>
      <c r="J152" s="143">
        <f>H152+I152</f>
        <v>86.60499999999999</v>
      </c>
    </row>
    <row r="153" spans="1:10" ht="12" customHeight="1" thickBot="1">
      <c r="A153" s="156"/>
      <c r="B153" s="67"/>
      <c r="C153" s="68"/>
      <c r="D153" s="56">
        <v>2212</v>
      </c>
      <c r="E153" s="91">
        <v>5171</v>
      </c>
      <c r="F153" s="92" t="s">
        <v>11</v>
      </c>
      <c r="G153" s="5">
        <v>0</v>
      </c>
      <c r="H153" s="2">
        <v>816.026</v>
      </c>
      <c r="I153" s="2"/>
      <c r="J153" s="5">
        <f>H153+I153</f>
        <v>816.026</v>
      </c>
    </row>
    <row r="154" spans="1:10" ht="12" customHeight="1">
      <c r="A154" s="156"/>
      <c r="B154" s="13" t="s">
        <v>2</v>
      </c>
      <c r="C154" s="59" t="s">
        <v>119</v>
      </c>
      <c r="D154" s="65" t="s">
        <v>0</v>
      </c>
      <c r="E154" s="65" t="s">
        <v>0</v>
      </c>
      <c r="F154" s="66" t="s">
        <v>120</v>
      </c>
      <c r="G154" s="42">
        <f>SUM(G155:G157)</f>
        <v>0</v>
      </c>
      <c r="H154" s="11">
        <f>SUM(H155:H157)</f>
        <v>2110.902</v>
      </c>
      <c r="I154" s="42">
        <f>SUM(I155:I157)</f>
        <v>0</v>
      </c>
      <c r="J154" s="42">
        <f>SUM(J155:J157)</f>
        <v>2110.902</v>
      </c>
    </row>
    <row r="155" spans="1:10" ht="12" customHeight="1">
      <c r="A155" s="156"/>
      <c r="B155" s="67"/>
      <c r="C155" s="68"/>
      <c r="D155" s="56">
        <v>2212</v>
      </c>
      <c r="E155" s="91">
        <v>5169</v>
      </c>
      <c r="F155" s="101" t="s">
        <v>9</v>
      </c>
      <c r="G155" s="5">
        <v>0</v>
      </c>
      <c r="H155" s="5">
        <v>11.707</v>
      </c>
      <c r="I155" s="5"/>
      <c r="J155" s="5">
        <f>H155+I155</f>
        <v>11.707</v>
      </c>
    </row>
    <row r="156" spans="1:10" ht="12" customHeight="1">
      <c r="A156" s="156"/>
      <c r="B156" s="67"/>
      <c r="C156" s="100" t="s">
        <v>62</v>
      </c>
      <c r="D156" s="56">
        <v>2212</v>
      </c>
      <c r="E156" s="91">
        <v>5169</v>
      </c>
      <c r="F156" s="101" t="s">
        <v>9</v>
      </c>
      <c r="G156" s="5">
        <v>0</v>
      </c>
      <c r="H156" s="5">
        <f>66.338+11.798+8.47</f>
        <v>86.606</v>
      </c>
      <c r="I156" s="5"/>
      <c r="J156" s="143">
        <f>H156+I156</f>
        <v>86.606</v>
      </c>
    </row>
    <row r="157" spans="1:10" ht="12" customHeight="1" thickBot="1">
      <c r="A157" s="156"/>
      <c r="B157" s="67"/>
      <c r="C157" s="68"/>
      <c r="D157" s="56">
        <v>2212</v>
      </c>
      <c r="E157" s="91">
        <v>5171</v>
      </c>
      <c r="F157" s="92" t="s">
        <v>11</v>
      </c>
      <c r="G157" s="5">
        <v>0</v>
      </c>
      <c r="H157" s="2">
        <v>2012.589</v>
      </c>
      <c r="I157" s="2"/>
      <c r="J157" s="5">
        <f>H157+I157</f>
        <v>2012.589</v>
      </c>
    </row>
    <row r="158" spans="1:10" ht="12" customHeight="1">
      <c r="A158" s="156"/>
      <c r="B158" s="13" t="s">
        <v>2</v>
      </c>
      <c r="C158" s="59" t="s">
        <v>121</v>
      </c>
      <c r="D158" s="65" t="s">
        <v>0</v>
      </c>
      <c r="E158" s="65" t="s">
        <v>0</v>
      </c>
      <c r="F158" s="66" t="s">
        <v>122</v>
      </c>
      <c r="G158" s="42">
        <f>SUM(G159:G161)</f>
        <v>0</v>
      </c>
      <c r="H158" s="11">
        <f>SUM(H159:H161)</f>
        <v>1494.1889999999999</v>
      </c>
      <c r="I158" s="42">
        <f>SUM(I159:I161)</f>
        <v>0</v>
      </c>
      <c r="J158" s="42">
        <f>SUM(J159:J161)</f>
        <v>1494.1889999999999</v>
      </c>
    </row>
    <row r="159" spans="1:10" ht="12" customHeight="1">
      <c r="A159" s="156"/>
      <c r="B159" s="67"/>
      <c r="C159" s="68"/>
      <c r="D159" s="56">
        <v>2212</v>
      </c>
      <c r="E159" s="91">
        <v>5169</v>
      </c>
      <c r="F159" s="101" t="s">
        <v>9</v>
      </c>
      <c r="G159" s="5">
        <v>0</v>
      </c>
      <c r="H159" s="5">
        <v>15.337</v>
      </c>
      <c r="I159" s="5"/>
      <c r="J159" s="5">
        <f>H159+I159</f>
        <v>15.337</v>
      </c>
    </row>
    <row r="160" spans="1:10" ht="12" customHeight="1">
      <c r="A160" s="156"/>
      <c r="B160" s="67"/>
      <c r="C160" s="100" t="s">
        <v>62</v>
      </c>
      <c r="D160" s="56">
        <v>2212</v>
      </c>
      <c r="E160" s="91">
        <v>5169</v>
      </c>
      <c r="F160" s="101" t="s">
        <v>9</v>
      </c>
      <c r="G160" s="5">
        <v>0</v>
      </c>
      <c r="H160" s="5">
        <f>86.908+11.797+8.47</f>
        <v>107.175</v>
      </c>
      <c r="I160" s="5"/>
      <c r="J160" s="143">
        <f>H160+I160</f>
        <v>107.175</v>
      </c>
    </row>
    <row r="161" spans="1:10" ht="12" customHeight="1" thickBot="1">
      <c r="A161" s="156"/>
      <c r="B161" s="67"/>
      <c r="C161" s="68"/>
      <c r="D161" s="56">
        <v>2212</v>
      </c>
      <c r="E161" s="91">
        <v>5171</v>
      </c>
      <c r="F161" s="92" t="s">
        <v>11</v>
      </c>
      <c r="G161" s="5">
        <v>0</v>
      </c>
      <c r="H161" s="2">
        <v>1371.677</v>
      </c>
      <c r="I161" s="2"/>
      <c r="J161" s="5">
        <f>H161+I161</f>
        <v>1371.677</v>
      </c>
    </row>
    <row r="162" spans="1:10" ht="12" customHeight="1">
      <c r="A162" s="156"/>
      <c r="B162" s="13" t="s">
        <v>2</v>
      </c>
      <c r="C162" s="59" t="s">
        <v>123</v>
      </c>
      <c r="D162" s="65" t="s">
        <v>0</v>
      </c>
      <c r="E162" s="65" t="s">
        <v>0</v>
      </c>
      <c r="F162" s="66" t="s">
        <v>124</v>
      </c>
      <c r="G162" s="42">
        <f>SUM(G163:G164)</f>
        <v>0</v>
      </c>
      <c r="H162" s="11">
        <f>SUM(H163:H164)</f>
        <v>65.945</v>
      </c>
      <c r="I162" s="42">
        <f>SUM(I163:I164)</f>
        <v>0</v>
      </c>
      <c r="J162" s="42">
        <f>SUM(J163:J164)</f>
        <v>65.945</v>
      </c>
    </row>
    <row r="163" spans="1:10" ht="12" customHeight="1">
      <c r="A163" s="156"/>
      <c r="B163" s="67"/>
      <c r="C163" s="68"/>
      <c r="D163" s="56">
        <v>2212</v>
      </c>
      <c r="E163" s="91">
        <v>5169</v>
      </c>
      <c r="F163" s="101" t="s">
        <v>9</v>
      </c>
      <c r="G163" s="5">
        <v>0</v>
      </c>
      <c r="H163" s="5">
        <v>9.892</v>
      </c>
      <c r="I163" s="5"/>
      <c r="J163" s="5">
        <f>H163+I163</f>
        <v>9.892</v>
      </c>
    </row>
    <row r="164" spans="1:10" ht="12" customHeight="1" thickBot="1">
      <c r="A164" s="156"/>
      <c r="B164" s="79"/>
      <c r="C164" s="111" t="s">
        <v>62</v>
      </c>
      <c r="D164" s="56">
        <v>2212</v>
      </c>
      <c r="E164" s="91">
        <v>5169</v>
      </c>
      <c r="F164" s="101" t="s">
        <v>9</v>
      </c>
      <c r="G164" s="4">
        <v>0</v>
      </c>
      <c r="H164" s="2">
        <v>56.053</v>
      </c>
      <c r="I164" s="2"/>
      <c r="J164" s="143">
        <f>H164+I164</f>
        <v>56.053</v>
      </c>
    </row>
    <row r="165" spans="1:10" ht="12" customHeight="1">
      <c r="A165" s="156"/>
      <c r="B165" s="13" t="s">
        <v>2</v>
      </c>
      <c r="C165" s="59" t="s">
        <v>125</v>
      </c>
      <c r="D165" s="65" t="s">
        <v>0</v>
      </c>
      <c r="E165" s="65" t="s">
        <v>0</v>
      </c>
      <c r="F165" s="66" t="s">
        <v>126</v>
      </c>
      <c r="G165" s="42">
        <f>SUM(G166:G168)</f>
        <v>0</v>
      </c>
      <c r="H165" s="11">
        <f>SUM(H166:H168)</f>
        <v>353.59799999999996</v>
      </c>
      <c r="I165" s="141">
        <f>SUM(I166:I168)</f>
        <v>-0.242</v>
      </c>
      <c r="J165" s="42">
        <f>SUM(J166:J168)</f>
        <v>353.356</v>
      </c>
    </row>
    <row r="166" spans="1:10" ht="12" customHeight="1">
      <c r="A166" s="156"/>
      <c r="B166" s="67"/>
      <c r="C166" s="68"/>
      <c r="D166" s="56">
        <v>2212</v>
      </c>
      <c r="E166" s="91">
        <v>5169</v>
      </c>
      <c r="F166" s="101" t="s">
        <v>9</v>
      </c>
      <c r="G166" s="5">
        <v>0</v>
      </c>
      <c r="H166" s="5">
        <v>9.892</v>
      </c>
      <c r="I166" s="143"/>
      <c r="J166" s="5">
        <f>H166+I166</f>
        <v>9.892</v>
      </c>
    </row>
    <row r="167" spans="1:10" ht="12" customHeight="1">
      <c r="A167" s="156"/>
      <c r="B167" s="67"/>
      <c r="C167" s="120" t="s">
        <v>62</v>
      </c>
      <c r="D167" s="56">
        <v>2212</v>
      </c>
      <c r="E167" s="91">
        <v>5169</v>
      </c>
      <c r="F167" s="101" t="s">
        <v>9</v>
      </c>
      <c r="G167" s="6">
        <v>0</v>
      </c>
      <c r="H167" s="5">
        <f>56.053+16.637+5.107</f>
        <v>77.797</v>
      </c>
      <c r="I167" s="143"/>
      <c r="J167" s="143">
        <f>H167+I167</f>
        <v>77.797</v>
      </c>
    </row>
    <row r="168" spans="1:10" ht="12" customHeight="1" thickBot="1">
      <c r="A168" s="156"/>
      <c r="B168" s="67"/>
      <c r="C168" s="68"/>
      <c r="D168" s="56">
        <v>2212</v>
      </c>
      <c r="E168" s="91">
        <v>5171</v>
      </c>
      <c r="F168" s="92" t="s">
        <v>11</v>
      </c>
      <c r="G168" s="5">
        <v>0</v>
      </c>
      <c r="H168" s="2">
        <v>265.909</v>
      </c>
      <c r="I168" s="140">
        <v>-0.242</v>
      </c>
      <c r="J168" s="5">
        <f>H168+I168</f>
        <v>265.667</v>
      </c>
    </row>
    <row r="169" spans="1:10" ht="12" customHeight="1">
      <c r="A169" s="156"/>
      <c r="B169" s="13" t="s">
        <v>2</v>
      </c>
      <c r="C169" s="59" t="s">
        <v>127</v>
      </c>
      <c r="D169" s="65" t="s">
        <v>0</v>
      </c>
      <c r="E169" s="65" t="s">
        <v>0</v>
      </c>
      <c r="F169" s="66" t="s">
        <v>128</v>
      </c>
      <c r="G169" s="42">
        <f>SUM(G170:G172)</f>
        <v>0</v>
      </c>
      <c r="H169" s="11">
        <f>SUM(H170:H172)</f>
        <v>1964.865</v>
      </c>
      <c r="I169" s="141">
        <f>SUM(I170:I172)</f>
        <v>-57.224</v>
      </c>
      <c r="J169" s="42">
        <f>SUM(J170:J172)</f>
        <v>1907.641</v>
      </c>
    </row>
    <row r="170" spans="1:10" ht="12" customHeight="1">
      <c r="A170" s="156"/>
      <c r="B170" s="67"/>
      <c r="C170" s="68"/>
      <c r="D170" s="56">
        <v>2212</v>
      </c>
      <c r="E170" s="91">
        <v>5169</v>
      </c>
      <c r="F170" s="101" t="s">
        <v>9</v>
      </c>
      <c r="G170" s="5">
        <v>0</v>
      </c>
      <c r="H170" s="5">
        <v>8.9845</v>
      </c>
      <c r="I170" s="143"/>
      <c r="J170" s="5">
        <f>H170+I170</f>
        <v>8.9845</v>
      </c>
    </row>
    <row r="171" spans="1:10" ht="12" customHeight="1">
      <c r="A171" s="156"/>
      <c r="B171" s="67"/>
      <c r="C171" s="120" t="s">
        <v>62</v>
      </c>
      <c r="D171" s="56">
        <v>2212</v>
      </c>
      <c r="E171" s="91">
        <v>5169</v>
      </c>
      <c r="F171" s="101" t="s">
        <v>9</v>
      </c>
      <c r="G171" s="6">
        <v>0</v>
      </c>
      <c r="H171" s="5">
        <f>50.9105+16.638+5.108</f>
        <v>72.65650000000001</v>
      </c>
      <c r="I171" s="143"/>
      <c r="J171" s="143">
        <f>H171+I171</f>
        <v>72.65650000000001</v>
      </c>
    </row>
    <row r="172" spans="1:10" ht="12" customHeight="1" thickBot="1">
      <c r="A172" s="156"/>
      <c r="B172" s="67"/>
      <c r="C172" s="68"/>
      <c r="D172" s="56">
        <v>2212</v>
      </c>
      <c r="E172" s="91">
        <v>5171</v>
      </c>
      <c r="F172" s="92" t="s">
        <v>11</v>
      </c>
      <c r="G172" s="5">
        <v>0</v>
      </c>
      <c r="H172" s="2">
        <v>1883.224</v>
      </c>
      <c r="I172" s="140">
        <v>-57.224</v>
      </c>
      <c r="J172" s="5">
        <f>H172+I172</f>
        <v>1826</v>
      </c>
    </row>
    <row r="173" spans="1:10" ht="12" customHeight="1">
      <c r="A173" s="156"/>
      <c r="B173" s="13" t="s">
        <v>2</v>
      </c>
      <c r="C173" s="59" t="s">
        <v>129</v>
      </c>
      <c r="D173" s="65" t="s">
        <v>0</v>
      </c>
      <c r="E173" s="65" t="s">
        <v>0</v>
      </c>
      <c r="F173" s="66" t="s">
        <v>130</v>
      </c>
      <c r="G173" s="42">
        <f>SUM(G174:G176)</f>
        <v>0</v>
      </c>
      <c r="H173" s="11">
        <f>SUM(H174:H176)</f>
        <v>598.294</v>
      </c>
      <c r="I173" s="141">
        <f>SUM(I174:I176)</f>
        <v>-23.958</v>
      </c>
      <c r="J173" s="42">
        <f>SUM(J174:J176)</f>
        <v>574.336</v>
      </c>
    </row>
    <row r="174" spans="1:10" ht="12" customHeight="1">
      <c r="A174" s="156"/>
      <c r="B174" s="67"/>
      <c r="C174" s="68"/>
      <c r="D174" s="56">
        <v>2212</v>
      </c>
      <c r="E174" s="91">
        <v>5169</v>
      </c>
      <c r="F174" s="101" t="s">
        <v>9</v>
      </c>
      <c r="G174" s="5">
        <v>0</v>
      </c>
      <c r="H174" s="5">
        <v>8.9845</v>
      </c>
      <c r="I174" s="143"/>
      <c r="J174" s="5">
        <f>H174+I174</f>
        <v>8.9845</v>
      </c>
    </row>
    <row r="175" spans="1:10" ht="12" customHeight="1">
      <c r="A175" s="156"/>
      <c r="B175" s="67"/>
      <c r="C175" s="100" t="s">
        <v>62</v>
      </c>
      <c r="D175" s="56">
        <v>2212</v>
      </c>
      <c r="E175" s="91">
        <v>5169</v>
      </c>
      <c r="F175" s="101" t="s">
        <v>9</v>
      </c>
      <c r="G175" s="5">
        <v>0</v>
      </c>
      <c r="H175" s="5">
        <f>50.9105+16.638+5.108</f>
        <v>72.65650000000001</v>
      </c>
      <c r="I175" s="143"/>
      <c r="J175" s="143">
        <f>H175+I175</f>
        <v>72.65650000000001</v>
      </c>
    </row>
    <row r="176" spans="1:10" ht="12" customHeight="1" thickBot="1">
      <c r="A176" s="156"/>
      <c r="B176" s="67"/>
      <c r="C176" s="68"/>
      <c r="D176" s="56">
        <v>2212</v>
      </c>
      <c r="E176" s="91">
        <v>5171</v>
      </c>
      <c r="F176" s="92" t="s">
        <v>11</v>
      </c>
      <c r="G176" s="5">
        <v>0</v>
      </c>
      <c r="H176" s="2">
        <v>516.653</v>
      </c>
      <c r="I176" s="140">
        <v>-23.958</v>
      </c>
      <c r="J176" s="5">
        <f>H176+I176</f>
        <v>492.69500000000005</v>
      </c>
    </row>
    <row r="177" spans="1:10" ht="12" customHeight="1">
      <c r="A177" s="156"/>
      <c r="B177" s="13" t="s">
        <v>2</v>
      </c>
      <c r="C177" s="59" t="s">
        <v>131</v>
      </c>
      <c r="D177" s="65" t="s">
        <v>0</v>
      </c>
      <c r="E177" s="65" t="s">
        <v>0</v>
      </c>
      <c r="F177" s="66" t="s">
        <v>132</v>
      </c>
      <c r="G177" s="42">
        <f>SUM(G178:G180)</f>
        <v>0</v>
      </c>
      <c r="H177" s="11">
        <f>SUM(H178:H180)</f>
        <v>268.429</v>
      </c>
      <c r="I177" s="141">
        <f>SUM(I178:I180)</f>
        <v>-0.242</v>
      </c>
      <c r="J177" s="42">
        <f>SUM(J178:J180)</f>
        <v>268.187</v>
      </c>
    </row>
    <row r="178" spans="1:10" ht="12" customHeight="1">
      <c r="A178" s="156"/>
      <c r="B178" s="67"/>
      <c r="C178" s="68"/>
      <c r="D178" s="56">
        <v>2212</v>
      </c>
      <c r="E178" s="91">
        <v>5169</v>
      </c>
      <c r="F178" s="101" t="s">
        <v>9</v>
      </c>
      <c r="G178" s="5">
        <v>0</v>
      </c>
      <c r="H178" s="5">
        <v>9.892</v>
      </c>
      <c r="I178" s="143"/>
      <c r="J178" s="5">
        <f>H178+I178</f>
        <v>9.892</v>
      </c>
    </row>
    <row r="179" spans="1:10" ht="12" customHeight="1">
      <c r="A179" s="156"/>
      <c r="B179" s="67"/>
      <c r="C179" s="120" t="s">
        <v>62</v>
      </c>
      <c r="D179" s="56">
        <v>2212</v>
      </c>
      <c r="E179" s="91">
        <v>5169</v>
      </c>
      <c r="F179" s="101" t="s">
        <v>9</v>
      </c>
      <c r="G179" s="6">
        <v>0</v>
      </c>
      <c r="H179" s="5">
        <f>56.053+16.637+5.107</f>
        <v>77.797</v>
      </c>
      <c r="I179" s="143"/>
      <c r="J179" s="143">
        <f>H179+I179</f>
        <v>77.797</v>
      </c>
    </row>
    <row r="180" spans="1:10" ht="12" customHeight="1" thickBot="1">
      <c r="A180" s="156"/>
      <c r="B180" s="67"/>
      <c r="C180" s="68"/>
      <c r="D180" s="56">
        <v>2212</v>
      </c>
      <c r="E180" s="91">
        <v>5171</v>
      </c>
      <c r="F180" s="92" t="s">
        <v>11</v>
      </c>
      <c r="G180" s="5">
        <v>0</v>
      </c>
      <c r="H180" s="14">
        <v>180.74</v>
      </c>
      <c r="I180" s="140">
        <v>-0.242</v>
      </c>
      <c r="J180" s="5">
        <f>H180+I180</f>
        <v>180.49800000000002</v>
      </c>
    </row>
    <row r="181" spans="1:10" ht="12" customHeight="1">
      <c r="A181" s="156"/>
      <c r="B181" s="13" t="s">
        <v>2</v>
      </c>
      <c r="C181" s="59" t="s">
        <v>133</v>
      </c>
      <c r="D181" s="65" t="s">
        <v>0</v>
      </c>
      <c r="E181" s="65" t="s">
        <v>0</v>
      </c>
      <c r="F181" s="66" t="s">
        <v>134</v>
      </c>
      <c r="G181" s="42">
        <f>SUM(G182:G184)</f>
        <v>0</v>
      </c>
      <c r="H181" s="11">
        <f>SUM(H182:H184)</f>
        <v>768.691</v>
      </c>
      <c r="I181" s="42">
        <f>SUM(I182:I184)</f>
        <v>0</v>
      </c>
      <c r="J181" s="42">
        <f>SUM(J182:J184)</f>
        <v>768.691</v>
      </c>
    </row>
    <row r="182" spans="1:10" ht="12" customHeight="1">
      <c r="A182" s="156"/>
      <c r="B182" s="67"/>
      <c r="C182" s="68"/>
      <c r="D182" s="56">
        <v>2212</v>
      </c>
      <c r="E182" s="91">
        <v>5169</v>
      </c>
      <c r="F182" s="101" t="s">
        <v>9</v>
      </c>
      <c r="G182" s="5">
        <v>0</v>
      </c>
      <c r="H182" s="5">
        <v>8.9845</v>
      </c>
      <c r="I182" s="5"/>
      <c r="J182" s="5">
        <f>H182+I182</f>
        <v>8.9845</v>
      </c>
    </row>
    <row r="183" spans="1:10" ht="12" customHeight="1">
      <c r="A183" s="156"/>
      <c r="B183" s="67"/>
      <c r="C183" s="100" t="s">
        <v>62</v>
      </c>
      <c r="D183" s="56">
        <v>2212</v>
      </c>
      <c r="E183" s="91">
        <v>5169</v>
      </c>
      <c r="F183" s="101" t="s">
        <v>9</v>
      </c>
      <c r="G183" s="5">
        <v>0</v>
      </c>
      <c r="H183" s="5">
        <f>50.9105+15.73+16.94</f>
        <v>83.5805</v>
      </c>
      <c r="I183" s="5"/>
      <c r="J183" s="143">
        <f>H183+I183</f>
        <v>83.5805</v>
      </c>
    </row>
    <row r="184" spans="1:10" ht="12" customHeight="1" thickBot="1">
      <c r="A184" s="156"/>
      <c r="B184" s="95"/>
      <c r="C184" s="96" t="s">
        <v>62</v>
      </c>
      <c r="D184" s="55">
        <v>2212</v>
      </c>
      <c r="E184" s="97">
        <v>5171</v>
      </c>
      <c r="F184" s="98" t="s">
        <v>11</v>
      </c>
      <c r="G184" s="3">
        <v>0</v>
      </c>
      <c r="H184" s="2">
        <v>676.126</v>
      </c>
      <c r="I184" s="2"/>
      <c r="J184" s="144">
        <f>H184+I184</f>
        <v>676.126</v>
      </c>
    </row>
    <row r="185" spans="1:10" ht="12" customHeight="1">
      <c r="A185" s="156"/>
      <c r="B185" s="13" t="s">
        <v>2</v>
      </c>
      <c r="C185" s="59" t="s">
        <v>135</v>
      </c>
      <c r="D185" s="65" t="s">
        <v>0</v>
      </c>
      <c r="E185" s="65" t="s">
        <v>0</v>
      </c>
      <c r="F185" s="66" t="s">
        <v>136</v>
      </c>
      <c r="G185" s="42">
        <f>SUM(G186:G188)</f>
        <v>0</v>
      </c>
      <c r="H185" s="11">
        <f>SUM(H186:H188)</f>
        <v>1076.7060000000001</v>
      </c>
      <c r="I185" s="42">
        <f>SUM(I186:I188)</f>
        <v>0</v>
      </c>
      <c r="J185" s="42">
        <f>SUM(J186:J188)</f>
        <v>1076.7060000000001</v>
      </c>
    </row>
    <row r="186" spans="1:10" ht="12" customHeight="1">
      <c r="A186" s="156"/>
      <c r="B186" s="67"/>
      <c r="C186" s="68"/>
      <c r="D186" s="56">
        <v>2212</v>
      </c>
      <c r="E186" s="91">
        <v>5169</v>
      </c>
      <c r="F186" s="101" t="s">
        <v>9</v>
      </c>
      <c r="G186" s="5">
        <v>0</v>
      </c>
      <c r="H186" s="5">
        <v>8.9845</v>
      </c>
      <c r="I186" s="5"/>
      <c r="J186" s="5">
        <f>H186+I186</f>
        <v>8.9845</v>
      </c>
    </row>
    <row r="187" spans="1:10" ht="12" customHeight="1">
      <c r="A187" s="156"/>
      <c r="B187" s="67"/>
      <c r="C187" s="100" t="s">
        <v>62</v>
      </c>
      <c r="D187" s="56">
        <v>2212</v>
      </c>
      <c r="E187" s="91">
        <v>5169</v>
      </c>
      <c r="F187" s="101" t="s">
        <v>9</v>
      </c>
      <c r="G187" s="5">
        <v>0</v>
      </c>
      <c r="H187" s="5">
        <f>50.9105+36.905+12.1</f>
        <v>99.9155</v>
      </c>
      <c r="I187" s="5"/>
      <c r="J187" s="143">
        <f>H187+I187</f>
        <v>99.9155</v>
      </c>
    </row>
    <row r="188" spans="1:10" ht="12" customHeight="1" thickBot="1">
      <c r="A188" s="156"/>
      <c r="B188" s="95"/>
      <c r="C188" s="96" t="s">
        <v>62</v>
      </c>
      <c r="D188" s="46">
        <v>2212</v>
      </c>
      <c r="E188" s="110">
        <v>5171</v>
      </c>
      <c r="F188" s="61" t="s">
        <v>11</v>
      </c>
      <c r="G188" s="3">
        <v>0</v>
      </c>
      <c r="H188" s="2">
        <v>967.806</v>
      </c>
      <c r="I188" s="2"/>
      <c r="J188" s="140">
        <f>H188+I188</f>
        <v>967.806</v>
      </c>
    </row>
    <row r="189" spans="1:10" ht="12" customHeight="1">
      <c r="A189" s="156"/>
      <c r="B189" s="13" t="s">
        <v>2</v>
      </c>
      <c r="C189" s="59" t="s">
        <v>137</v>
      </c>
      <c r="D189" s="65" t="s">
        <v>0</v>
      </c>
      <c r="E189" s="65" t="s">
        <v>0</v>
      </c>
      <c r="F189" s="66" t="s">
        <v>138</v>
      </c>
      <c r="G189" s="42">
        <f>SUM(G190:G192)</f>
        <v>0</v>
      </c>
      <c r="H189" s="11">
        <f>SUM(H190:H192)</f>
        <v>329.06850000000003</v>
      </c>
      <c r="I189" s="42">
        <f>SUM(I190:I192)</f>
        <v>0</v>
      </c>
      <c r="J189" s="42">
        <f>SUM(J190:J192)</f>
        <v>329.06850000000003</v>
      </c>
    </row>
    <row r="190" spans="1:10" ht="12" customHeight="1">
      <c r="A190" s="156"/>
      <c r="B190" s="67"/>
      <c r="C190" s="68"/>
      <c r="D190" s="56">
        <v>2212</v>
      </c>
      <c r="E190" s="91">
        <v>5169</v>
      </c>
      <c r="F190" s="101" t="s">
        <v>9</v>
      </c>
      <c r="G190" s="5">
        <v>0</v>
      </c>
      <c r="H190" s="15">
        <v>4.22</v>
      </c>
      <c r="I190" s="5"/>
      <c r="J190" s="5">
        <f>H190+I190</f>
        <v>4.22</v>
      </c>
    </row>
    <row r="191" spans="1:10" ht="12" customHeight="1">
      <c r="A191" s="156"/>
      <c r="B191" s="67"/>
      <c r="C191" s="120" t="s">
        <v>62</v>
      </c>
      <c r="D191" s="56">
        <v>2212</v>
      </c>
      <c r="E191" s="91">
        <v>5169</v>
      </c>
      <c r="F191" s="101" t="s">
        <v>9</v>
      </c>
      <c r="G191" s="6">
        <v>0</v>
      </c>
      <c r="H191" s="5">
        <f>23.9125+12.281+10.122</f>
        <v>46.3155</v>
      </c>
      <c r="I191" s="5"/>
      <c r="J191" s="143">
        <f>H191+I191</f>
        <v>46.3155</v>
      </c>
    </row>
    <row r="192" spans="1:10" ht="12" customHeight="1" thickBot="1">
      <c r="A192" s="156"/>
      <c r="B192" s="108"/>
      <c r="C192" s="109" t="s">
        <v>62</v>
      </c>
      <c r="D192" s="46">
        <v>2212</v>
      </c>
      <c r="E192" s="110">
        <v>5171</v>
      </c>
      <c r="F192" s="61" t="s">
        <v>11</v>
      </c>
      <c r="G192" s="2">
        <v>0</v>
      </c>
      <c r="H192" s="2">
        <v>278.533</v>
      </c>
      <c r="I192" s="2"/>
      <c r="J192" s="140">
        <f>H192+I192</f>
        <v>278.533</v>
      </c>
    </row>
    <row r="193" spans="1:10" ht="12" customHeight="1">
      <c r="A193" s="156"/>
      <c r="B193" s="13" t="s">
        <v>2</v>
      </c>
      <c r="C193" s="59" t="s">
        <v>139</v>
      </c>
      <c r="D193" s="65" t="s">
        <v>0</v>
      </c>
      <c r="E193" s="65" t="s">
        <v>0</v>
      </c>
      <c r="F193" s="66" t="s">
        <v>140</v>
      </c>
      <c r="G193" s="42">
        <f>SUM(G194:G196)</f>
        <v>0</v>
      </c>
      <c r="H193" s="11">
        <f>SUM(H194:H196)</f>
        <v>358.3155</v>
      </c>
      <c r="I193" s="42">
        <f>SUM(I194:I196)</f>
        <v>0</v>
      </c>
      <c r="J193" s="42">
        <f>SUM(J194:J196)</f>
        <v>358.3155</v>
      </c>
    </row>
    <row r="194" spans="1:10" ht="12" customHeight="1">
      <c r="A194" s="156"/>
      <c r="B194" s="67"/>
      <c r="C194" s="68"/>
      <c r="D194" s="56">
        <v>2212</v>
      </c>
      <c r="E194" s="91">
        <v>5169</v>
      </c>
      <c r="F194" s="101" t="s">
        <v>9</v>
      </c>
      <c r="G194" s="5">
        <v>0</v>
      </c>
      <c r="H194" s="15">
        <v>4.22</v>
      </c>
      <c r="I194" s="5"/>
      <c r="J194" s="5">
        <f>H194+I194</f>
        <v>4.22</v>
      </c>
    </row>
    <row r="195" spans="1:10" ht="12" customHeight="1">
      <c r="A195" s="156"/>
      <c r="B195" s="67"/>
      <c r="C195" s="100" t="s">
        <v>62</v>
      </c>
      <c r="D195" s="56">
        <v>2212</v>
      </c>
      <c r="E195" s="91">
        <v>5169</v>
      </c>
      <c r="F195" s="101" t="s">
        <v>9</v>
      </c>
      <c r="G195" s="5">
        <v>0</v>
      </c>
      <c r="H195" s="5">
        <f>23.9125+12.282+10.122</f>
        <v>46.316500000000005</v>
      </c>
      <c r="I195" s="5"/>
      <c r="J195" s="143">
        <f>H195+I195</f>
        <v>46.316500000000005</v>
      </c>
    </row>
    <row r="196" spans="1:10" ht="12" customHeight="1" thickBot="1">
      <c r="A196" s="156"/>
      <c r="B196" s="95"/>
      <c r="C196" s="96" t="s">
        <v>62</v>
      </c>
      <c r="D196" s="55">
        <v>2212</v>
      </c>
      <c r="E196" s="97">
        <v>5171</v>
      </c>
      <c r="F196" s="98" t="s">
        <v>11</v>
      </c>
      <c r="G196" s="3">
        <v>0</v>
      </c>
      <c r="H196" s="2">
        <v>307.779</v>
      </c>
      <c r="I196" s="2"/>
      <c r="J196" s="144">
        <f>H196+I196</f>
        <v>307.779</v>
      </c>
    </row>
    <row r="197" spans="1:10" ht="12" customHeight="1">
      <c r="A197" s="156"/>
      <c r="B197" s="13" t="s">
        <v>2</v>
      </c>
      <c r="C197" s="59" t="s">
        <v>141</v>
      </c>
      <c r="D197" s="65" t="s">
        <v>0</v>
      </c>
      <c r="E197" s="65" t="s">
        <v>0</v>
      </c>
      <c r="F197" s="66" t="s">
        <v>142</v>
      </c>
      <c r="G197" s="42">
        <f>SUM(G198:G200)</f>
        <v>0</v>
      </c>
      <c r="H197" s="11">
        <f>SUM(H198:H200)</f>
        <v>657.1355</v>
      </c>
      <c r="I197" s="42">
        <f>SUM(I198:I200)</f>
        <v>0</v>
      </c>
      <c r="J197" s="42">
        <f>SUM(J198:J200)</f>
        <v>657.1355</v>
      </c>
    </row>
    <row r="198" spans="1:10" ht="12" customHeight="1">
      <c r="A198" s="156"/>
      <c r="B198" s="67"/>
      <c r="C198" s="68"/>
      <c r="D198" s="56">
        <v>2212</v>
      </c>
      <c r="E198" s="91">
        <v>5169</v>
      </c>
      <c r="F198" s="101" t="s">
        <v>9</v>
      </c>
      <c r="G198" s="5">
        <v>0</v>
      </c>
      <c r="H198" s="15">
        <v>4.22</v>
      </c>
      <c r="I198" s="5"/>
      <c r="J198" s="5">
        <f>H198+I198</f>
        <v>4.22</v>
      </c>
    </row>
    <row r="199" spans="1:10" ht="12" customHeight="1">
      <c r="A199" s="156"/>
      <c r="B199" s="116"/>
      <c r="C199" s="100" t="s">
        <v>62</v>
      </c>
      <c r="D199" s="56">
        <v>2212</v>
      </c>
      <c r="E199" s="91">
        <v>5169</v>
      </c>
      <c r="F199" s="101" t="s">
        <v>9</v>
      </c>
      <c r="G199" s="5">
        <v>0</v>
      </c>
      <c r="H199" s="5">
        <f>23.9125+19.602+13.915</f>
        <v>57.4295</v>
      </c>
      <c r="I199" s="5"/>
      <c r="J199" s="143">
        <f>H199+I199</f>
        <v>57.4295</v>
      </c>
    </row>
    <row r="200" spans="1:10" ht="12" customHeight="1" thickBot="1">
      <c r="A200" s="156"/>
      <c r="B200" s="121"/>
      <c r="C200" s="96" t="s">
        <v>62</v>
      </c>
      <c r="D200" s="55">
        <v>2212</v>
      </c>
      <c r="E200" s="97">
        <v>5171</v>
      </c>
      <c r="F200" s="98" t="s">
        <v>11</v>
      </c>
      <c r="G200" s="3">
        <v>0</v>
      </c>
      <c r="H200" s="2">
        <v>595.486</v>
      </c>
      <c r="I200" s="2"/>
      <c r="J200" s="144">
        <f>H200+I200</f>
        <v>595.486</v>
      </c>
    </row>
    <row r="201" spans="1:10" ht="12" customHeight="1">
      <c r="A201" s="156"/>
      <c r="B201" s="13" t="s">
        <v>2</v>
      </c>
      <c r="C201" s="59" t="s">
        <v>143</v>
      </c>
      <c r="D201" s="65" t="s">
        <v>0</v>
      </c>
      <c r="E201" s="65" t="s">
        <v>0</v>
      </c>
      <c r="F201" s="66" t="s">
        <v>144</v>
      </c>
      <c r="G201" s="42">
        <f>SUM(G202:G204)</f>
        <v>0</v>
      </c>
      <c r="H201" s="11">
        <f>SUM(H202:H204)</f>
        <v>3586.5415000000003</v>
      </c>
      <c r="I201" s="42">
        <f>SUM(I202:I204)</f>
        <v>0</v>
      </c>
      <c r="J201" s="42">
        <f>SUM(J202:J204)</f>
        <v>3586.5415000000003</v>
      </c>
    </row>
    <row r="202" spans="1:10" ht="12" customHeight="1">
      <c r="A202" s="156"/>
      <c r="B202" s="67"/>
      <c r="C202" s="68"/>
      <c r="D202" s="56">
        <v>2212</v>
      </c>
      <c r="E202" s="91">
        <v>5169</v>
      </c>
      <c r="F202" s="101" t="s">
        <v>9</v>
      </c>
      <c r="G202" s="5">
        <v>0</v>
      </c>
      <c r="H202" s="5">
        <v>5.1275</v>
      </c>
      <c r="I202" s="5"/>
      <c r="J202" s="5">
        <f>H202+I202</f>
        <v>5.1275</v>
      </c>
    </row>
    <row r="203" spans="1:10" ht="12" customHeight="1">
      <c r="A203" s="156"/>
      <c r="B203" s="67"/>
      <c r="C203" s="100" t="s">
        <v>62</v>
      </c>
      <c r="D203" s="56">
        <v>2212</v>
      </c>
      <c r="E203" s="91">
        <v>5169</v>
      </c>
      <c r="F203" s="101" t="s">
        <v>9</v>
      </c>
      <c r="G203" s="5">
        <v>0</v>
      </c>
      <c r="H203" s="5">
        <f>29.055+59.29+41.14</f>
        <v>129.485</v>
      </c>
      <c r="I203" s="5"/>
      <c r="J203" s="143">
        <f>H203+I203</f>
        <v>129.485</v>
      </c>
    </row>
    <row r="204" spans="1:10" ht="12" customHeight="1" thickBot="1">
      <c r="A204" s="156"/>
      <c r="B204" s="108"/>
      <c r="C204" s="109" t="s">
        <v>62</v>
      </c>
      <c r="D204" s="46">
        <v>2212</v>
      </c>
      <c r="E204" s="110">
        <v>5171</v>
      </c>
      <c r="F204" s="61" t="s">
        <v>11</v>
      </c>
      <c r="G204" s="2">
        <v>0</v>
      </c>
      <c r="H204" s="2">
        <v>3451.929</v>
      </c>
      <c r="I204" s="2"/>
      <c r="J204" s="140">
        <f>H204+I204</f>
        <v>3451.929</v>
      </c>
    </row>
    <row r="205" spans="1:10" ht="12" customHeight="1">
      <c r="A205" s="156"/>
      <c r="B205" s="13" t="s">
        <v>2</v>
      </c>
      <c r="C205" s="59" t="s">
        <v>145</v>
      </c>
      <c r="D205" s="65" t="s">
        <v>0</v>
      </c>
      <c r="E205" s="65" t="s">
        <v>0</v>
      </c>
      <c r="F205" s="66" t="s">
        <v>146</v>
      </c>
      <c r="G205" s="42">
        <f>SUM(G206:G208)</f>
        <v>0</v>
      </c>
      <c r="H205" s="11">
        <f>SUM(H206:H208)</f>
        <v>1397.9925</v>
      </c>
      <c r="I205" s="42">
        <f>SUM(I206:I208)</f>
        <v>0</v>
      </c>
      <c r="J205" s="42">
        <f>SUM(J206:J208)</f>
        <v>1397.9925</v>
      </c>
    </row>
    <row r="206" spans="1:10" ht="12" customHeight="1">
      <c r="A206" s="156"/>
      <c r="B206" s="67"/>
      <c r="C206" s="68"/>
      <c r="D206" s="56">
        <v>2212</v>
      </c>
      <c r="E206" s="91">
        <v>5169</v>
      </c>
      <c r="F206" s="101" t="s">
        <v>9</v>
      </c>
      <c r="G206" s="5">
        <v>0</v>
      </c>
      <c r="H206" s="15">
        <v>4.22</v>
      </c>
      <c r="I206" s="5"/>
      <c r="J206" s="5">
        <f>H206+I206</f>
        <v>4.22</v>
      </c>
    </row>
    <row r="207" spans="1:10" ht="12" customHeight="1">
      <c r="A207" s="156"/>
      <c r="B207" s="67"/>
      <c r="C207" s="100" t="s">
        <v>62</v>
      </c>
      <c r="D207" s="56">
        <v>2212</v>
      </c>
      <c r="E207" s="91">
        <v>5169</v>
      </c>
      <c r="F207" s="101" t="s">
        <v>9</v>
      </c>
      <c r="G207" s="5">
        <v>0</v>
      </c>
      <c r="H207" s="5">
        <f>23.9125+19.602+13.915</f>
        <v>57.4295</v>
      </c>
      <c r="I207" s="5"/>
      <c r="J207" s="143">
        <f>H207+I207</f>
        <v>57.4295</v>
      </c>
    </row>
    <row r="208" spans="1:10" ht="12" customHeight="1" thickBot="1">
      <c r="A208" s="156"/>
      <c r="B208" s="95"/>
      <c r="C208" s="96" t="s">
        <v>62</v>
      </c>
      <c r="D208" s="55">
        <v>2212</v>
      </c>
      <c r="E208" s="97">
        <v>5171</v>
      </c>
      <c r="F208" s="98" t="s">
        <v>11</v>
      </c>
      <c r="G208" s="3">
        <v>0</v>
      </c>
      <c r="H208" s="2">
        <v>1336.343</v>
      </c>
      <c r="I208" s="2"/>
      <c r="J208" s="144">
        <f>H208+I208</f>
        <v>1336.343</v>
      </c>
    </row>
    <row r="209" spans="1:10" ht="12" customHeight="1">
      <c r="A209" s="156"/>
      <c r="B209" s="13" t="s">
        <v>2</v>
      </c>
      <c r="C209" s="59" t="s">
        <v>147</v>
      </c>
      <c r="D209" s="65" t="s">
        <v>0</v>
      </c>
      <c r="E209" s="65" t="s">
        <v>0</v>
      </c>
      <c r="F209" s="66" t="s">
        <v>148</v>
      </c>
      <c r="G209" s="42">
        <f>SUM(G210:G212)</f>
        <v>0</v>
      </c>
      <c r="H209" s="11">
        <f>SUM(H210:H212)</f>
        <v>2277.9485</v>
      </c>
      <c r="I209" s="42">
        <f>SUM(I210:I212)</f>
        <v>0</v>
      </c>
      <c r="J209" s="42">
        <f>SUM(J210:J212)</f>
        <v>2277.9485</v>
      </c>
    </row>
    <row r="210" spans="1:10" ht="12" customHeight="1">
      <c r="A210" s="156"/>
      <c r="B210" s="67"/>
      <c r="C210" s="68"/>
      <c r="D210" s="56">
        <v>2212</v>
      </c>
      <c r="E210" s="91">
        <v>5169</v>
      </c>
      <c r="F210" s="101" t="s">
        <v>9</v>
      </c>
      <c r="G210" s="5">
        <v>0</v>
      </c>
      <c r="H210" s="15">
        <v>4.22</v>
      </c>
      <c r="I210" s="5"/>
      <c r="J210" s="5">
        <f>H210+I210</f>
        <v>4.22</v>
      </c>
    </row>
    <row r="211" spans="1:10" ht="12" customHeight="1">
      <c r="A211" s="156"/>
      <c r="B211" s="67"/>
      <c r="C211" s="100" t="s">
        <v>62</v>
      </c>
      <c r="D211" s="56">
        <v>2212</v>
      </c>
      <c r="E211" s="91">
        <v>5169</v>
      </c>
      <c r="F211" s="101" t="s">
        <v>9</v>
      </c>
      <c r="G211" s="5">
        <v>0</v>
      </c>
      <c r="H211" s="5">
        <f>23.9125+19.602+13.915</f>
        <v>57.4295</v>
      </c>
      <c r="I211" s="5"/>
      <c r="J211" s="143">
        <f>H211+I211</f>
        <v>57.4295</v>
      </c>
    </row>
    <row r="212" spans="1:10" ht="12" customHeight="1" thickBot="1">
      <c r="A212" s="156"/>
      <c r="B212" s="95"/>
      <c r="C212" s="96" t="s">
        <v>62</v>
      </c>
      <c r="D212" s="55">
        <v>2212</v>
      </c>
      <c r="E212" s="97">
        <v>5171</v>
      </c>
      <c r="F212" s="98" t="s">
        <v>11</v>
      </c>
      <c r="G212" s="3">
        <v>0</v>
      </c>
      <c r="H212" s="2">
        <v>2216.299</v>
      </c>
      <c r="I212" s="2"/>
      <c r="J212" s="144">
        <f>H212+I212</f>
        <v>2216.299</v>
      </c>
    </row>
    <row r="213" spans="1:10" ht="12" customHeight="1">
      <c r="A213" s="156"/>
      <c r="B213" s="13" t="s">
        <v>2</v>
      </c>
      <c r="C213" s="59" t="s">
        <v>149</v>
      </c>
      <c r="D213" s="65" t="s">
        <v>0</v>
      </c>
      <c r="E213" s="65" t="s">
        <v>0</v>
      </c>
      <c r="F213" s="66" t="s">
        <v>150</v>
      </c>
      <c r="G213" s="42">
        <f>SUM(G214:G216)</f>
        <v>0</v>
      </c>
      <c r="H213" s="11">
        <f>SUM(H214:H216)</f>
        <v>4782.6385</v>
      </c>
      <c r="I213" s="42">
        <f>SUM(I214:I216)</f>
        <v>0</v>
      </c>
      <c r="J213" s="42">
        <f>SUM(J214:J216)</f>
        <v>4782.6385</v>
      </c>
    </row>
    <row r="214" spans="1:10" ht="12" customHeight="1">
      <c r="A214" s="156"/>
      <c r="B214" s="67"/>
      <c r="C214" s="68"/>
      <c r="D214" s="56">
        <v>2212</v>
      </c>
      <c r="E214" s="91">
        <v>5169</v>
      </c>
      <c r="F214" s="101" t="s">
        <v>9</v>
      </c>
      <c r="G214" s="5">
        <v>0</v>
      </c>
      <c r="H214" s="15">
        <v>4.22</v>
      </c>
      <c r="I214" s="5"/>
      <c r="J214" s="5">
        <f>H214+I214</f>
        <v>4.22</v>
      </c>
    </row>
    <row r="215" spans="1:10" ht="12" customHeight="1">
      <c r="A215" s="156"/>
      <c r="B215" s="67"/>
      <c r="C215" s="120" t="s">
        <v>62</v>
      </c>
      <c r="D215" s="56">
        <v>2212</v>
      </c>
      <c r="E215" s="91">
        <v>5169</v>
      </c>
      <c r="F215" s="101" t="s">
        <v>9</v>
      </c>
      <c r="G215" s="6">
        <v>0</v>
      </c>
      <c r="H215" s="5">
        <f>23.9125+19.602+13.915</f>
        <v>57.4295</v>
      </c>
      <c r="I215" s="5"/>
      <c r="J215" s="143">
        <f>H215+I215</f>
        <v>57.4295</v>
      </c>
    </row>
    <row r="216" spans="1:10" ht="12" customHeight="1" thickBot="1">
      <c r="A216" s="156"/>
      <c r="B216" s="95"/>
      <c r="C216" s="96" t="s">
        <v>62</v>
      </c>
      <c r="D216" s="55">
        <v>2212</v>
      </c>
      <c r="E216" s="97">
        <v>5171</v>
      </c>
      <c r="F216" s="98" t="s">
        <v>11</v>
      </c>
      <c r="G216" s="3">
        <v>0</v>
      </c>
      <c r="H216" s="2">
        <v>4720.989</v>
      </c>
      <c r="I216" s="2"/>
      <c r="J216" s="144">
        <f>H216+I216</f>
        <v>4720.989</v>
      </c>
    </row>
    <row r="217" spans="1:10" ht="12" customHeight="1">
      <c r="A217" s="156"/>
      <c r="B217" s="13" t="s">
        <v>2</v>
      </c>
      <c r="C217" s="59" t="s">
        <v>151</v>
      </c>
      <c r="D217" s="65" t="s">
        <v>0</v>
      </c>
      <c r="E217" s="65" t="s">
        <v>0</v>
      </c>
      <c r="F217" s="66" t="s">
        <v>152</v>
      </c>
      <c r="G217" s="42">
        <f>SUM(G218:G219)</f>
        <v>0</v>
      </c>
      <c r="H217" s="11">
        <f>SUM(H218:H219)</f>
        <v>28.1325</v>
      </c>
      <c r="I217" s="42">
        <f>SUM(I218:I219)</f>
        <v>0</v>
      </c>
      <c r="J217" s="42">
        <f>SUM(J218:J219)</f>
        <v>28.1325</v>
      </c>
    </row>
    <row r="218" spans="1:10" ht="12" customHeight="1">
      <c r="A218" s="156"/>
      <c r="B218" s="67"/>
      <c r="C218" s="68"/>
      <c r="D218" s="56">
        <v>2212</v>
      </c>
      <c r="E218" s="91">
        <v>5169</v>
      </c>
      <c r="F218" s="101" t="s">
        <v>9</v>
      </c>
      <c r="G218" s="5">
        <v>0</v>
      </c>
      <c r="H218" s="15">
        <v>4.22</v>
      </c>
      <c r="I218" s="5"/>
      <c r="J218" s="5">
        <f>H218+I218</f>
        <v>4.22</v>
      </c>
    </row>
    <row r="219" spans="1:10" ht="12" customHeight="1" thickBot="1">
      <c r="A219" s="156"/>
      <c r="B219" s="79"/>
      <c r="C219" s="111" t="s">
        <v>62</v>
      </c>
      <c r="D219" s="56">
        <v>2212</v>
      </c>
      <c r="E219" s="91">
        <v>5169</v>
      </c>
      <c r="F219" s="101" t="s">
        <v>9</v>
      </c>
      <c r="G219" s="4">
        <v>0</v>
      </c>
      <c r="H219" s="2">
        <v>23.9125</v>
      </c>
      <c r="I219" s="2"/>
      <c r="J219" s="143">
        <f>H219+I219</f>
        <v>23.9125</v>
      </c>
    </row>
    <row r="220" spans="1:10" ht="12" customHeight="1">
      <c r="A220" s="156"/>
      <c r="B220" s="13" t="s">
        <v>2</v>
      </c>
      <c r="C220" s="59" t="s">
        <v>153</v>
      </c>
      <c r="D220" s="65" t="s">
        <v>0</v>
      </c>
      <c r="E220" s="65" t="s">
        <v>0</v>
      </c>
      <c r="F220" s="66" t="s">
        <v>154</v>
      </c>
      <c r="G220" s="42">
        <f>SUM(G221:G223)</f>
        <v>0</v>
      </c>
      <c r="H220" s="11">
        <f>SUM(H221:H223)</f>
        <v>2292.4615000000003</v>
      </c>
      <c r="I220" s="42">
        <f>SUM(I221:I223)</f>
        <v>0</v>
      </c>
      <c r="J220" s="42">
        <f>SUM(J221:J223)</f>
        <v>2292.4615000000003</v>
      </c>
    </row>
    <row r="221" spans="1:10" ht="12" customHeight="1">
      <c r="A221" s="156"/>
      <c r="B221" s="67"/>
      <c r="C221" s="68"/>
      <c r="D221" s="56">
        <v>2212</v>
      </c>
      <c r="E221" s="91">
        <v>5169</v>
      </c>
      <c r="F221" s="101" t="s">
        <v>9</v>
      </c>
      <c r="G221" s="5">
        <v>0</v>
      </c>
      <c r="H221" s="15">
        <v>4.22</v>
      </c>
      <c r="I221" s="5"/>
      <c r="J221" s="5">
        <f>H221+I221</f>
        <v>4.22</v>
      </c>
    </row>
    <row r="222" spans="1:10" ht="12" customHeight="1">
      <c r="A222" s="156"/>
      <c r="B222" s="67"/>
      <c r="C222" s="100" t="s">
        <v>62</v>
      </c>
      <c r="D222" s="56">
        <v>2212</v>
      </c>
      <c r="E222" s="91">
        <v>5169</v>
      </c>
      <c r="F222" s="101" t="s">
        <v>9</v>
      </c>
      <c r="G222" s="5">
        <v>0</v>
      </c>
      <c r="H222" s="5">
        <f>23.9125+12.281+10.121</f>
        <v>46.3145</v>
      </c>
      <c r="I222" s="5"/>
      <c r="J222" s="143">
        <f>H222+I222</f>
        <v>46.3145</v>
      </c>
    </row>
    <row r="223" spans="1:10" ht="12" customHeight="1" thickBot="1">
      <c r="A223" s="156"/>
      <c r="B223" s="95"/>
      <c r="C223" s="96" t="s">
        <v>62</v>
      </c>
      <c r="D223" s="55">
        <v>2212</v>
      </c>
      <c r="E223" s="97">
        <v>5171</v>
      </c>
      <c r="F223" s="98" t="s">
        <v>11</v>
      </c>
      <c r="G223" s="3">
        <v>0</v>
      </c>
      <c r="H223" s="2">
        <v>2241.927</v>
      </c>
      <c r="I223" s="2"/>
      <c r="J223" s="144">
        <f>H223+I223</f>
        <v>2241.927</v>
      </c>
    </row>
    <row r="224" spans="1:10" ht="12" customHeight="1">
      <c r="A224" s="156"/>
      <c r="B224" s="13" t="s">
        <v>2</v>
      </c>
      <c r="C224" s="59" t="s">
        <v>155</v>
      </c>
      <c r="D224" s="65" t="s">
        <v>0</v>
      </c>
      <c r="E224" s="65" t="s">
        <v>0</v>
      </c>
      <c r="F224" s="66" t="s">
        <v>156</v>
      </c>
      <c r="G224" s="42">
        <f>SUM(G225:G227)</f>
        <v>0</v>
      </c>
      <c r="H224" s="11">
        <f>SUM(H225:H227)</f>
        <v>4477.6365000000005</v>
      </c>
      <c r="I224" s="42">
        <f>SUM(I225:I227)</f>
        <v>0</v>
      </c>
      <c r="J224" s="42">
        <f>SUM(J225:J227)</f>
        <v>4477.6365000000005</v>
      </c>
    </row>
    <row r="225" spans="1:10" ht="12" customHeight="1">
      <c r="A225" s="156"/>
      <c r="B225" s="67"/>
      <c r="C225" s="68"/>
      <c r="D225" s="56">
        <v>2212</v>
      </c>
      <c r="E225" s="91">
        <v>5169</v>
      </c>
      <c r="F225" s="101" t="s">
        <v>9</v>
      </c>
      <c r="G225" s="5">
        <v>0</v>
      </c>
      <c r="H225" s="15">
        <v>4.22</v>
      </c>
      <c r="I225" s="5"/>
      <c r="J225" s="5">
        <f>H225+I225</f>
        <v>4.22</v>
      </c>
    </row>
    <row r="226" spans="1:10" ht="12" customHeight="1">
      <c r="A226" s="156"/>
      <c r="B226" s="67"/>
      <c r="C226" s="100" t="s">
        <v>62</v>
      </c>
      <c r="D226" s="56">
        <v>2212</v>
      </c>
      <c r="E226" s="91">
        <v>5169</v>
      </c>
      <c r="F226" s="101" t="s">
        <v>9</v>
      </c>
      <c r="G226" s="5">
        <v>0</v>
      </c>
      <c r="H226" s="5">
        <f>23.9125+12.282+10.122</f>
        <v>46.316500000000005</v>
      </c>
      <c r="I226" s="5"/>
      <c r="J226" s="143">
        <f>H226+I226</f>
        <v>46.316500000000005</v>
      </c>
    </row>
    <row r="227" spans="1:10" ht="12" customHeight="1" thickBot="1">
      <c r="A227" s="156"/>
      <c r="B227" s="95"/>
      <c r="C227" s="96" t="s">
        <v>62</v>
      </c>
      <c r="D227" s="55">
        <v>2212</v>
      </c>
      <c r="E227" s="97">
        <v>5171</v>
      </c>
      <c r="F227" s="98" t="s">
        <v>11</v>
      </c>
      <c r="G227" s="3">
        <v>0</v>
      </c>
      <c r="H227" s="14">
        <v>4427.1</v>
      </c>
      <c r="I227" s="2"/>
      <c r="J227" s="144">
        <f>H227+I227</f>
        <v>4427.1</v>
      </c>
    </row>
    <row r="228" spans="1:10" ht="12" customHeight="1">
      <c r="A228" s="156"/>
      <c r="B228" s="13" t="s">
        <v>2</v>
      </c>
      <c r="C228" s="59" t="s">
        <v>157</v>
      </c>
      <c r="D228" s="65" t="s">
        <v>0</v>
      </c>
      <c r="E228" s="65" t="s">
        <v>0</v>
      </c>
      <c r="F228" s="66" t="s">
        <v>158</v>
      </c>
      <c r="G228" s="42">
        <f>SUM(G229:G232)</f>
        <v>0</v>
      </c>
      <c r="H228" s="42">
        <f>SUM(H229:H232)</f>
        <v>1455.4835</v>
      </c>
      <c r="I228" s="42">
        <f>SUM(I229:I232)</f>
        <v>0</v>
      </c>
      <c r="J228" s="42">
        <f>SUM(J229:J232)</f>
        <v>1455.4835</v>
      </c>
    </row>
    <row r="229" spans="1:10" ht="12" customHeight="1">
      <c r="A229" s="156"/>
      <c r="B229" s="67"/>
      <c r="C229" s="68"/>
      <c r="D229" s="56">
        <v>2212</v>
      </c>
      <c r="E229" s="91">
        <v>5169</v>
      </c>
      <c r="F229" s="101" t="s">
        <v>9</v>
      </c>
      <c r="G229" s="5">
        <v>0</v>
      </c>
      <c r="H229" s="15">
        <v>4.22</v>
      </c>
      <c r="I229" s="5"/>
      <c r="J229" s="5">
        <f>H229+I229</f>
        <v>4.22</v>
      </c>
    </row>
    <row r="230" spans="1:10" ht="12" customHeight="1">
      <c r="A230" s="156"/>
      <c r="B230" s="67"/>
      <c r="C230" s="100" t="s">
        <v>62</v>
      </c>
      <c r="D230" s="56">
        <v>2212</v>
      </c>
      <c r="E230" s="91">
        <v>5169</v>
      </c>
      <c r="F230" s="101" t="s">
        <v>9</v>
      </c>
      <c r="G230" s="5">
        <v>0</v>
      </c>
      <c r="H230" s="5">
        <f>23.9125+14.823+9.378</f>
        <v>48.1135</v>
      </c>
      <c r="I230" s="5"/>
      <c r="J230" s="143">
        <f>H230+I230</f>
        <v>48.1135</v>
      </c>
    </row>
    <row r="231" spans="1:10" ht="12" customHeight="1">
      <c r="A231" s="156"/>
      <c r="B231" s="116"/>
      <c r="C231" s="68"/>
      <c r="D231" s="56">
        <v>2212</v>
      </c>
      <c r="E231" s="91">
        <v>5171</v>
      </c>
      <c r="F231" s="92" t="s">
        <v>11</v>
      </c>
      <c r="G231" s="5">
        <v>0</v>
      </c>
      <c r="H231" s="5">
        <v>1403.15</v>
      </c>
      <c r="I231" s="143">
        <v>-1403.15</v>
      </c>
      <c r="J231" s="5">
        <f>H231+I231</f>
        <v>0</v>
      </c>
    </row>
    <row r="232" spans="1:10" ht="12" customHeight="1" thickBot="1">
      <c r="A232" s="156"/>
      <c r="B232" s="117"/>
      <c r="C232" s="96" t="s">
        <v>62</v>
      </c>
      <c r="D232" s="55">
        <v>2212</v>
      </c>
      <c r="E232" s="97">
        <v>5171</v>
      </c>
      <c r="F232" s="98" t="s">
        <v>11</v>
      </c>
      <c r="G232" s="3">
        <v>0</v>
      </c>
      <c r="H232" s="4">
        <v>0</v>
      </c>
      <c r="I232" s="144">
        <v>1403.15</v>
      </c>
      <c r="J232" s="3">
        <f>H232+I232</f>
        <v>1403.15</v>
      </c>
    </row>
    <row r="233" spans="1:10" ht="12" customHeight="1">
      <c r="A233" s="156"/>
      <c r="B233" s="13" t="s">
        <v>2</v>
      </c>
      <c r="C233" s="59" t="s">
        <v>159</v>
      </c>
      <c r="D233" s="65" t="s">
        <v>0</v>
      </c>
      <c r="E233" s="65" t="s">
        <v>0</v>
      </c>
      <c r="F233" s="66" t="s">
        <v>160</v>
      </c>
      <c r="G233" s="42">
        <f>SUM(G234:G236)</f>
        <v>0</v>
      </c>
      <c r="H233" s="11">
        <f>SUM(H234:H236)</f>
        <v>1650.8045</v>
      </c>
      <c r="I233" s="42">
        <f>SUM(I234:I236)</f>
        <v>0</v>
      </c>
      <c r="J233" s="42">
        <f>SUM(J234:J236)</f>
        <v>1650.8045</v>
      </c>
    </row>
    <row r="234" spans="1:10" ht="12" customHeight="1">
      <c r="A234" s="156"/>
      <c r="B234" s="67"/>
      <c r="C234" s="68"/>
      <c r="D234" s="56">
        <v>2212</v>
      </c>
      <c r="E234" s="91">
        <v>5169</v>
      </c>
      <c r="F234" s="101" t="s">
        <v>9</v>
      </c>
      <c r="G234" s="5">
        <v>0</v>
      </c>
      <c r="H234" s="15">
        <v>4.22</v>
      </c>
      <c r="I234" s="5"/>
      <c r="J234" s="5">
        <f>H234+I234</f>
        <v>4.22</v>
      </c>
    </row>
    <row r="235" spans="1:10" ht="12" customHeight="1">
      <c r="A235" s="156"/>
      <c r="B235" s="67"/>
      <c r="C235" s="100" t="s">
        <v>62</v>
      </c>
      <c r="D235" s="56">
        <v>2212</v>
      </c>
      <c r="E235" s="91">
        <v>5169</v>
      </c>
      <c r="F235" s="101" t="s">
        <v>9</v>
      </c>
      <c r="G235" s="5">
        <v>0</v>
      </c>
      <c r="H235" s="5">
        <f>23.9125+14.823+9.378</f>
        <v>48.1135</v>
      </c>
      <c r="I235" s="5"/>
      <c r="J235" s="143">
        <f>H235+I235</f>
        <v>48.1135</v>
      </c>
    </row>
    <row r="236" spans="1:10" ht="12" customHeight="1" thickBot="1">
      <c r="A236" s="156"/>
      <c r="B236" s="95"/>
      <c r="C236" s="96" t="s">
        <v>62</v>
      </c>
      <c r="D236" s="55">
        <v>2212</v>
      </c>
      <c r="E236" s="97">
        <v>5171</v>
      </c>
      <c r="F236" s="98" t="s">
        <v>11</v>
      </c>
      <c r="G236" s="3">
        <v>0</v>
      </c>
      <c r="H236" s="2">
        <v>1598.471</v>
      </c>
      <c r="I236" s="2"/>
      <c r="J236" s="144">
        <f>H236+I236</f>
        <v>1598.471</v>
      </c>
    </row>
    <row r="237" spans="1:10" ht="12" customHeight="1">
      <c r="A237" s="156"/>
      <c r="B237" s="13" t="s">
        <v>2</v>
      </c>
      <c r="C237" s="59" t="s">
        <v>161</v>
      </c>
      <c r="D237" s="65" t="s">
        <v>0</v>
      </c>
      <c r="E237" s="65" t="s">
        <v>0</v>
      </c>
      <c r="F237" s="66" t="s">
        <v>162</v>
      </c>
      <c r="G237" s="42">
        <f>SUM(G238:G240)</f>
        <v>0</v>
      </c>
      <c r="H237" s="11">
        <f>SUM(H238:H240)</f>
        <v>2806.5924999999997</v>
      </c>
      <c r="I237" s="42">
        <f>SUM(I238:I240)</f>
        <v>0</v>
      </c>
      <c r="J237" s="42">
        <f>SUM(J238:J240)</f>
        <v>2806.5924999999997</v>
      </c>
    </row>
    <row r="238" spans="1:10" ht="12" customHeight="1">
      <c r="A238" s="156"/>
      <c r="B238" s="67"/>
      <c r="C238" s="68"/>
      <c r="D238" s="56">
        <v>2212</v>
      </c>
      <c r="E238" s="91">
        <v>5169</v>
      </c>
      <c r="F238" s="101" t="s">
        <v>9</v>
      </c>
      <c r="G238" s="5">
        <v>0</v>
      </c>
      <c r="H238" s="15">
        <v>4.22</v>
      </c>
      <c r="I238" s="5"/>
      <c r="J238" s="5">
        <f>H238+I238</f>
        <v>4.22</v>
      </c>
    </row>
    <row r="239" spans="1:10" ht="12" customHeight="1">
      <c r="A239" s="156"/>
      <c r="B239" s="67"/>
      <c r="C239" s="100" t="s">
        <v>62</v>
      </c>
      <c r="D239" s="56">
        <v>2212</v>
      </c>
      <c r="E239" s="91">
        <v>5169</v>
      </c>
      <c r="F239" s="101" t="s">
        <v>9</v>
      </c>
      <c r="G239" s="5">
        <v>0</v>
      </c>
      <c r="H239" s="5">
        <f>23.9125+26.922+19.844</f>
        <v>70.67850000000001</v>
      </c>
      <c r="I239" s="5"/>
      <c r="J239" s="143">
        <f>H239+I239</f>
        <v>70.67850000000001</v>
      </c>
    </row>
    <row r="240" spans="1:10" ht="12" customHeight="1" thickBot="1">
      <c r="A240" s="156"/>
      <c r="B240" s="95"/>
      <c r="C240" s="96" t="s">
        <v>62</v>
      </c>
      <c r="D240" s="55">
        <v>2212</v>
      </c>
      <c r="E240" s="97">
        <v>5171</v>
      </c>
      <c r="F240" s="98" t="s">
        <v>11</v>
      </c>
      <c r="G240" s="3">
        <v>0</v>
      </c>
      <c r="H240" s="2">
        <v>2731.694</v>
      </c>
      <c r="I240" s="2"/>
      <c r="J240" s="144">
        <f>H240+I240</f>
        <v>2731.694</v>
      </c>
    </row>
    <row r="241" spans="1:10" ht="12" customHeight="1">
      <c r="A241" s="156"/>
      <c r="B241" s="13" t="s">
        <v>2</v>
      </c>
      <c r="C241" s="59" t="s">
        <v>163</v>
      </c>
      <c r="D241" s="65" t="s">
        <v>0</v>
      </c>
      <c r="E241" s="65" t="s">
        <v>0</v>
      </c>
      <c r="F241" s="66" t="s">
        <v>164</v>
      </c>
      <c r="G241" s="42">
        <f>SUM(G242:G244)</f>
        <v>0</v>
      </c>
      <c r="H241" s="11">
        <f>SUM(H242:H244)</f>
        <v>4798.0685</v>
      </c>
      <c r="I241" s="42">
        <f>SUM(I242:I244)</f>
        <v>0</v>
      </c>
      <c r="J241" s="42">
        <f>SUM(J242:J244)</f>
        <v>4798.0685</v>
      </c>
    </row>
    <row r="242" spans="1:10" ht="12" customHeight="1">
      <c r="A242" s="156"/>
      <c r="B242" s="67"/>
      <c r="C242" s="68"/>
      <c r="D242" s="56">
        <v>2212</v>
      </c>
      <c r="E242" s="91">
        <v>5169</v>
      </c>
      <c r="F242" s="101" t="s">
        <v>9</v>
      </c>
      <c r="G242" s="5">
        <v>0</v>
      </c>
      <c r="H242" s="15">
        <v>4.22</v>
      </c>
      <c r="I242" s="5"/>
      <c r="J242" s="5">
        <f>H242+I242</f>
        <v>4.22</v>
      </c>
    </row>
    <row r="243" spans="1:10" ht="12" customHeight="1">
      <c r="A243" s="156"/>
      <c r="B243" s="67"/>
      <c r="C243" s="100" t="s">
        <v>62</v>
      </c>
      <c r="D243" s="56">
        <v>2212</v>
      </c>
      <c r="E243" s="91">
        <v>5169</v>
      </c>
      <c r="F243" s="101" t="s">
        <v>9</v>
      </c>
      <c r="G243" s="5">
        <v>0</v>
      </c>
      <c r="H243" s="5">
        <f>23.9125+64.13+51.425</f>
        <v>139.46749999999997</v>
      </c>
      <c r="I243" s="5"/>
      <c r="J243" s="143">
        <f>H243+I243</f>
        <v>139.46749999999997</v>
      </c>
    </row>
    <row r="244" spans="1:10" ht="12" customHeight="1" thickBot="1">
      <c r="A244" s="156"/>
      <c r="B244" s="79"/>
      <c r="C244" s="111" t="s">
        <v>62</v>
      </c>
      <c r="D244" s="56">
        <v>2212</v>
      </c>
      <c r="E244" s="110">
        <v>5171</v>
      </c>
      <c r="F244" s="61" t="s">
        <v>11</v>
      </c>
      <c r="G244" s="4">
        <v>0</v>
      </c>
      <c r="H244" s="2">
        <v>4654.381</v>
      </c>
      <c r="I244" s="2"/>
      <c r="J244" s="140">
        <f>H244+I244</f>
        <v>4654.381</v>
      </c>
    </row>
    <row r="245" spans="1:10" ht="12" customHeight="1">
      <c r="A245" s="156"/>
      <c r="B245" s="13" t="s">
        <v>2</v>
      </c>
      <c r="C245" s="59" t="s">
        <v>165</v>
      </c>
      <c r="D245" s="65" t="s">
        <v>0</v>
      </c>
      <c r="E245" s="65" t="s">
        <v>0</v>
      </c>
      <c r="F245" s="66" t="s">
        <v>166</v>
      </c>
      <c r="G245" s="42">
        <f>SUM(G246:G248)</f>
        <v>0</v>
      </c>
      <c r="H245" s="11">
        <f>SUM(H246:H248)</f>
        <v>9853.4165</v>
      </c>
      <c r="I245" s="42">
        <f>SUM(I246:I248)</f>
        <v>0</v>
      </c>
      <c r="J245" s="42">
        <f>SUM(J246:J248)</f>
        <v>9853.4165</v>
      </c>
    </row>
    <row r="246" spans="1:10" ht="12" customHeight="1">
      <c r="A246" s="156"/>
      <c r="B246" s="67"/>
      <c r="C246" s="68"/>
      <c r="D246" s="56">
        <v>2212</v>
      </c>
      <c r="E246" s="91">
        <v>5169</v>
      </c>
      <c r="F246" s="101" t="s">
        <v>9</v>
      </c>
      <c r="G246" s="5">
        <v>0</v>
      </c>
      <c r="H246" s="15">
        <v>4.22</v>
      </c>
      <c r="I246" s="5"/>
      <c r="J246" s="5">
        <f>H246+I246</f>
        <v>4.22</v>
      </c>
    </row>
    <row r="247" spans="1:10" ht="12" customHeight="1">
      <c r="A247" s="156"/>
      <c r="B247" s="67"/>
      <c r="C247" s="100" t="s">
        <v>62</v>
      </c>
      <c r="D247" s="56">
        <v>2212</v>
      </c>
      <c r="E247" s="91">
        <v>5169</v>
      </c>
      <c r="F247" s="101" t="s">
        <v>9</v>
      </c>
      <c r="G247" s="5">
        <v>0</v>
      </c>
      <c r="H247" s="5">
        <f>23.9125+64.13+51.425</f>
        <v>139.46749999999997</v>
      </c>
      <c r="I247" s="5"/>
      <c r="J247" s="143">
        <f>H247+I247</f>
        <v>139.46749999999997</v>
      </c>
    </row>
    <row r="248" spans="1:10" ht="12" customHeight="1" thickBot="1">
      <c r="A248" s="156"/>
      <c r="B248" s="79"/>
      <c r="C248" s="111" t="s">
        <v>62</v>
      </c>
      <c r="D248" s="56">
        <v>2212</v>
      </c>
      <c r="E248" s="110">
        <v>5171</v>
      </c>
      <c r="F248" s="61" t="s">
        <v>11</v>
      </c>
      <c r="G248" s="4">
        <v>0</v>
      </c>
      <c r="H248" s="2">
        <v>9709.729</v>
      </c>
      <c r="I248" s="2"/>
      <c r="J248" s="140">
        <f>H248+I248</f>
        <v>9709.729</v>
      </c>
    </row>
    <row r="249" spans="1:10" ht="12" customHeight="1">
      <c r="A249" s="156"/>
      <c r="B249" s="13" t="s">
        <v>2</v>
      </c>
      <c r="C249" s="59" t="s">
        <v>167</v>
      </c>
      <c r="D249" s="65" t="s">
        <v>0</v>
      </c>
      <c r="E249" s="65" t="s">
        <v>0</v>
      </c>
      <c r="F249" s="66" t="s">
        <v>168</v>
      </c>
      <c r="G249" s="42">
        <f>SUM(G250:G252)</f>
        <v>0</v>
      </c>
      <c r="H249" s="11">
        <f>SUM(H250:H252)</f>
        <v>4297.423500000001</v>
      </c>
      <c r="I249" s="42">
        <f>SUM(I250:I252)</f>
        <v>0</v>
      </c>
      <c r="J249" s="42">
        <f>SUM(J250:J252)</f>
        <v>4297.423500000001</v>
      </c>
    </row>
    <row r="250" spans="1:10" ht="12" customHeight="1">
      <c r="A250" s="156"/>
      <c r="B250" s="67"/>
      <c r="C250" s="68"/>
      <c r="D250" s="56">
        <v>2212</v>
      </c>
      <c r="E250" s="91">
        <v>5169</v>
      </c>
      <c r="F250" s="101" t="s">
        <v>9</v>
      </c>
      <c r="G250" s="5">
        <v>0</v>
      </c>
      <c r="H250" s="15">
        <v>4.22</v>
      </c>
      <c r="I250" s="5"/>
      <c r="J250" s="5">
        <f>H250+I250</f>
        <v>4.22</v>
      </c>
    </row>
    <row r="251" spans="1:10" ht="12" customHeight="1">
      <c r="A251" s="156"/>
      <c r="B251" s="67"/>
      <c r="C251" s="100" t="s">
        <v>62</v>
      </c>
      <c r="D251" s="56">
        <v>2212</v>
      </c>
      <c r="E251" s="91">
        <v>5169</v>
      </c>
      <c r="F251" s="101" t="s">
        <v>9</v>
      </c>
      <c r="G251" s="5">
        <v>0</v>
      </c>
      <c r="H251" s="5">
        <f>23.9125+49.126+38.163</f>
        <v>111.2015</v>
      </c>
      <c r="I251" s="5"/>
      <c r="J251" s="143">
        <f>H251+I251</f>
        <v>111.2015</v>
      </c>
    </row>
    <row r="252" spans="1:10" ht="12" customHeight="1" thickBot="1">
      <c r="A252" s="156"/>
      <c r="B252" s="95"/>
      <c r="C252" s="96" t="s">
        <v>62</v>
      </c>
      <c r="D252" s="46">
        <v>2212</v>
      </c>
      <c r="E252" s="110">
        <v>5171</v>
      </c>
      <c r="F252" s="61" t="s">
        <v>11</v>
      </c>
      <c r="G252" s="3">
        <v>0</v>
      </c>
      <c r="H252" s="2">
        <v>4182.002</v>
      </c>
      <c r="I252" s="2"/>
      <c r="J252" s="140">
        <f>H252+I252</f>
        <v>4182.002</v>
      </c>
    </row>
    <row r="253" spans="1:10" ht="12" customHeight="1">
      <c r="A253" s="156"/>
      <c r="B253" s="13" t="s">
        <v>2</v>
      </c>
      <c r="C253" s="59" t="s">
        <v>169</v>
      </c>
      <c r="D253" s="65" t="s">
        <v>0</v>
      </c>
      <c r="E253" s="65" t="s">
        <v>0</v>
      </c>
      <c r="F253" s="66" t="s">
        <v>170</v>
      </c>
      <c r="G253" s="42">
        <f>SUM(G254:G255)</f>
        <v>0</v>
      </c>
      <c r="H253" s="11">
        <f>SUM(H254:H255)</f>
        <v>130.996</v>
      </c>
      <c r="I253" s="42">
        <f>SUM(I254:I255)</f>
        <v>0</v>
      </c>
      <c r="J253" s="42">
        <f>SUM(J254:J255)</f>
        <v>130.996</v>
      </c>
    </row>
    <row r="254" spans="1:10" ht="12" customHeight="1">
      <c r="A254" s="156"/>
      <c r="B254" s="116"/>
      <c r="C254" s="68"/>
      <c r="D254" s="56">
        <v>2212</v>
      </c>
      <c r="E254" s="91">
        <v>5169</v>
      </c>
      <c r="F254" s="101" t="s">
        <v>9</v>
      </c>
      <c r="G254" s="5">
        <v>0</v>
      </c>
      <c r="H254" s="5">
        <v>27.225</v>
      </c>
      <c r="I254" s="5"/>
      <c r="J254" s="5">
        <f>H254+I254</f>
        <v>27.225</v>
      </c>
    </row>
    <row r="255" spans="1:10" ht="12" customHeight="1" thickBot="1">
      <c r="A255" s="156"/>
      <c r="B255" s="108"/>
      <c r="C255" s="118"/>
      <c r="D255" s="46">
        <v>2212</v>
      </c>
      <c r="E255" s="110">
        <v>5171</v>
      </c>
      <c r="F255" s="61" t="s">
        <v>11</v>
      </c>
      <c r="G255" s="2">
        <v>0</v>
      </c>
      <c r="H255" s="2">
        <f>104.828-1.057</f>
        <v>103.771</v>
      </c>
      <c r="I255" s="2"/>
      <c r="J255" s="2">
        <f>H255+I255</f>
        <v>103.771</v>
      </c>
    </row>
    <row r="256" spans="1:10" ht="12" customHeight="1">
      <c r="A256" s="156"/>
      <c r="B256" s="13" t="s">
        <v>2</v>
      </c>
      <c r="C256" s="59" t="s">
        <v>171</v>
      </c>
      <c r="D256" s="65" t="s">
        <v>0</v>
      </c>
      <c r="E256" s="65" t="s">
        <v>0</v>
      </c>
      <c r="F256" s="66" t="s">
        <v>172</v>
      </c>
      <c r="G256" s="42">
        <f>SUM(G257:G259)</f>
        <v>0</v>
      </c>
      <c r="H256" s="11">
        <f>SUM(H257:H259)</f>
        <v>1373.597</v>
      </c>
      <c r="I256" s="141">
        <f>SUM(I257:I259)</f>
        <v>-3.63</v>
      </c>
      <c r="J256" s="42">
        <f>SUM(J257:J259)</f>
        <v>1369.9669999999999</v>
      </c>
    </row>
    <row r="257" spans="1:10" ht="12" customHeight="1">
      <c r="A257" s="156"/>
      <c r="B257" s="67"/>
      <c r="C257" s="68"/>
      <c r="D257" s="56">
        <v>2212</v>
      </c>
      <c r="E257" s="91">
        <v>5169</v>
      </c>
      <c r="F257" s="101" t="s">
        <v>9</v>
      </c>
      <c r="G257" s="5">
        <v>0</v>
      </c>
      <c r="H257" s="5">
        <v>39.325</v>
      </c>
      <c r="I257" s="143"/>
      <c r="J257" s="5">
        <f>H257+I257</f>
        <v>39.325</v>
      </c>
    </row>
    <row r="258" spans="1:10" ht="12" customHeight="1">
      <c r="A258" s="156"/>
      <c r="B258" s="67"/>
      <c r="C258" s="100" t="s">
        <v>62</v>
      </c>
      <c r="D258" s="56">
        <v>2212</v>
      </c>
      <c r="E258" s="91">
        <v>5169</v>
      </c>
      <c r="F258" s="101" t="s">
        <v>9</v>
      </c>
      <c r="G258" s="5">
        <v>0</v>
      </c>
      <c r="H258" s="5">
        <f>29.04+26.051</f>
        <v>55.090999999999994</v>
      </c>
      <c r="I258" s="143"/>
      <c r="J258" s="143">
        <f>H258+I258</f>
        <v>55.090999999999994</v>
      </c>
    </row>
    <row r="259" spans="1:10" ht="12" customHeight="1" thickBot="1">
      <c r="A259" s="156"/>
      <c r="B259" s="95"/>
      <c r="C259" s="96" t="s">
        <v>62</v>
      </c>
      <c r="D259" s="46">
        <v>2212</v>
      </c>
      <c r="E259" s="110">
        <v>5171</v>
      </c>
      <c r="F259" s="61" t="s">
        <v>11</v>
      </c>
      <c r="G259" s="3">
        <v>0</v>
      </c>
      <c r="H259" s="2">
        <f>906.986+372.195</f>
        <v>1279.181</v>
      </c>
      <c r="I259" s="143">
        <v>-3.63</v>
      </c>
      <c r="J259" s="140">
        <f>H259+I259</f>
        <v>1275.551</v>
      </c>
    </row>
    <row r="260" spans="1:10" ht="12" customHeight="1">
      <c r="A260" s="156"/>
      <c r="B260" s="13" t="s">
        <v>2</v>
      </c>
      <c r="C260" s="59" t="s">
        <v>173</v>
      </c>
      <c r="D260" s="65" t="s">
        <v>0</v>
      </c>
      <c r="E260" s="65" t="s">
        <v>0</v>
      </c>
      <c r="F260" s="66" t="s">
        <v>174</v>
      </c>
      <c r="G260" s="42">
        <f>SUM(G261:G263)</f>
        <v>0</v>
      </c>
      <c r="H260" s="11">
        <f>SUM(H261:H263)</f>
        <v>3018.022</v>
      </c>
      <c r="I260" s="42">
        <f>SUM(I261:I263)</f>
        <v>0</v>
      </c>
      <c r="J260" s="42">
        <f>SUM(J261:J263)</f>
        <v>3018.022</v>
      </c>
    </row>
    <row r="261" spans="1:10" ht="12" customHeight="1">
      <c r="A261" s="156"/>
      <c r="B261" s="67"/>
      <c r="C261" s="68"/>
      <c r="D261" s="56">
        <v>2212</v>
      </c>
      <c r="E261" s="91">
        <v>5169</v>
      </c>
      <c r="F261" s="101" t="s">
        <v>9</v>
      </c>
      <c r="G261" s="5">
        <v>0</v>
      </c>
      <c r="H261" s="5">
        <v>63.525</v>
      </c>
      <c r="I261" s="5"/>
      <c r="J261" s="5">
        <f>H261+I261</f>
        <v>63.525</v>
      </c>
    </row>
    <row r="262" spans="1:10" ht="12" customHeight="1">
      <c r="A262" s="156"/>
      <c r="B262" s="67"/>
      <c r="C262" s="100" t="s">
        <v>62</v>
      </c>
      <c r="D262" s="56">
        <v>2212</v>
      </c>
      <c r="E262" s="91">
        <v>5169</v>
      </c>
      <c r="F262" s="101" t="s">
        <v>9</v>
      </c>
      <c r="G262" s="5">
        <v>0</v>
      </c>
      <c r="H262" s="15">
        <f>48.4+20.57</f>
        <v>68.97</v>
      </c>
      <c r="I262" s="5"/>
      <c r="J262" s="143">
        <f>H262+I262</f>
        <v>68.97</v>
      </c>
    </row>
    <row r="263" spans="1:10" ht="12" customHeight="1" thickBot="1">
      <c r="A263" s="156"/>
      <c r="B263" s="95"/>
      <c r="C263" s="96" t="s">
        <v>62</v>
      </c>
      <c r="D263" s="46">
        <v>2212</v>
      </c>
      <c r="E263" s="110">
        <v>5171</v>
      </c>
      <c r="F263" s="61" t="s">
        <v>11</v>
      </c>
      <c r="G263" s="3">
        <v>0</v>
      </c>
      <c r="H263" s="2">
        <v>2885.527</v>
      </c>
      <c r="I263" s="2"/>
      <c r="J263" s="140">
        <f>H263+I263</f>
        <v>2885.527</v>
      </c>
    </row>
    <row r="264" spans="1:10" ht="12" customHeight="1">
      <c r="A264" s="156"/>
      <c r="B264" s="13" t="s">
        <v>2</v>
      </c>
      <c r="C264" s="59" t="s">
        <v>175</v>
      </c>
      <c r="D264" s="65" t="s">
        <v>0</v>
      </c>
      <c r="E264" s="65" t="s">
        <v>0</v>
      </c>
      <c r="F264" s="66" t="s">
        <v>176</v>
      </c>
      <c r="G264" s="42">
        <f>SUM(G265:G267)</f>
        <v>0</v>
      </c>
      <c r="H264" s="11">
        <f>SUM(H265:H267)</f>
        <v>642.8910000000001</v>
      </c>
      <c r="I264" s="42">
        <f>SUM(I265:I267)</f>
        <v>0</v>
      </c>
      <c r="J264" s="42">
        <f>SUM(J265:J267)</f>
        <v>642.8910000000001</v>
      </c>
    </row>
    <row r="265" spans="1:10" ht="12" customHeight="1">
      <c r="A265" s="156"/>
      <c r="B265" s="67"/>
      <c r="C265" s="68"/>
      <c r="D265" s="56">
        <v>2212</v>
      </c>
      <c r="E265" s="91">
        <v>5169</v>
      </c>
      <c r="F265" s="101" t="s">
        <v>9</v>
      </c>
      <c r="G265" s="5">
        <v>0</v>
      </c>
      <c r="H265" s="5">
        <v>39.325</v>
      </c>
      <c r="I265" s="5"/>
      <c r="J265" s="5">
        <f>H265+I265</f>
        <v>39.325</v>
      </c>
    </row>
    <row r="266" spans="1:10" ht="12" customHeight="1">
      <c r="A266" s="156"/>
      <c r="B266" s="67"/>
      <c r="C266" s="100" t="s">
        <v>62</v>
      </c>
      <c r="D266" s="56">
        <v>2212</v>
      </c>
      <c r="E266" s="91">
        <v>5169</v>
      </c>
      <c r="F266" s="101" t="s">
        <v>9</v>
      </c>
      <c r="G266" s="5">
        <v>0</v>
      </c>
      <c r="H266" s="5">
        <f>32.838+27.225</f>
        <v>60.063</v>
      </c>
      <c r="I266" s="5"/>
      <c r="J266" s="143">
        <f>H266+I266</f>
        <v>60.063</v>
      </c>
    </row>
    <row r="267" spans="1:10" ht="12" customHeight="1" thickBot="1">
      <c r="A267" s="156"/>
      <c r="B267" s="108"/>
      <c r="C267" s="118"/>
      <c r="D267" s="46">
        <v>2212</v>
      </c>
      <c r="E267" s="110">
        <v>5171</v>
      </c>
      <c r="F267" s="61" t="s">
        <v>11</v>
      </c>
      <c r="G267" s="2">
        <v>0</v>
      </c>
      <c r="H267" s="2">
        <v>543.503</v>
      </c>
      <c r="I267" s="2"/>
      <c r="J267" s="2">
        <f>H267+I267</f>
        <v>543.503</v>
      </c>
    </row>
    <row r="268" spans="1:10" ht="12" customHeight="1">
      <c r="A268" s="156"/>
      <c r="B268" s="13" t="s">
        <v>2</v>
      </c>
      <c r="C268" s="59" t="s">
        <v>177</v>
      </c>
      <c r="D268" s="65" t="s">
        <v>0</v>
      </c>
      <c r="E268" s="65" t="s">
        <v>0</v>
      </c>
      <c r="F268" s="66" t="s">
        <v>178</v>
      </c>
      <c r="G268" s="42">
        <f>SUM(G269:G271)</f>
        <v>0</v>
      </c>
      <c r="H268" s="11">
        <f>SUM(H269:H271)</f>
        <v>10349.389</v>
      </c>
      <c r="I268" s="42">
        <f>SUM(I269:I271)</f>
        <v>0</v>
      </c>
      <c r="J268" s="42">
        <f>SUM(J269:J271)</f>
        <v>10349.389</v>
      </c>
    </row>
    <row r="269" spans="1:10" ht="12" customHeight="1">
      <c r="A269" s="156"/>
      <c r="B269" s="67"/>
      <c r="C269" s="68"/>
      <c r="D269" s="56">
        <v>2212</v>
      </c>
      <c r="E269" s="91">
        <v>5169</v>
      </c>
      <c r="F269" s="101" t="s">
        <v>9</v>
      </c>
      <c r="G269" s="5">
        <v>0</v>
      </c>
      <c r="H269" s="5">
        <v>51.425</v>
      </c>
      <c r="I269" s="5"/>
      <c r="J269" s="5">
        <f>H269+I269</f>
        <v>51.425</v>
      </c>
    </row>
    <row r="270" spans="1:10" ht="12" customHeight="1">
      <c r="A270" s="156"/>
      <c r="B270" s="67"/>
      <c r="C270" s="100" t="s">
        <v>62</v>
      </c>
      <c r="D270" s="56">
        <v>2212</v>
      </c>
      <c r="E270" s="91">
        <v>5169</v>
      </c>
      <c r="F270" s="101" t="s">
        <v>9</v>
      </c>
      <c r="G270" s="5">
        <v>0</v>
      </c>
      <c r="H270" s="5">
        <f>84.441+51.425</f>
        <v>135.86599999999999</v>
      </c>
      <c r="I270" s="5"/>
      <c r="J270" s="143">
        <f>H270+I270</f>
        <v>135.86599999999999</v>
      </c>
    </row>
    <row r="271" spans="1:10" ht="12" customHeight="1" thickBot="1">
      <c r="A271" s="156"/>
      <c r="B271" s="95"/>
      <c r="C271" s="96" t="s">
        <v>62</v>
      </c>
      <c r="D271" s="55">
        <v>2212</v>
      </c>
      <c r="E271" s="97">
        <v>5171</v>
      </c>
      <c r="F271" s="98" t="s">
        <v>11</v>
      </c>
      <c r="G271" s="3">
        <v>0</v>
      </c>
      <c r="H271" s="2">
        <v>10162.098</v>
      </c>
      <c r="I271" s="2"/>
      <c r="J271" s="144">
        <f>H271+I271</f>
        <v>10162.098</v>
      </c>
    </row>
    <row r="272" spans="1:10" ht="12" customHeight="1">
      <c r="A272" s="156"/>
      <c r="B272" s="13" t="s">
        <v>2</v>
      </c>
      <c r="C272" s="59" t="s">
        <v>179</v>
      </c>
      <c r="D272" s="65" t="s">
        <v>0</v>
      </c>
      <c r="E272" s="65" t="s">
        <v>0</v>
      </c>
      <c r="F272" s="66" t="s">
        <v>180</v>
      </c>
      <c r="G272" s="42">
        <f>SUM(G273:G274)</f>
        <v>0</v>
      </c>
      <c r="H272" s="11">
        <f>SUM(H273:H274)</f>
        <v>29.04</v>
      </c>
      <c r="I272" s="42">
        <f>SUM(I273:I274)</f>
        <v>0</v>
      </c>
      <c r="J272" s="42">
        <f>SUM(J273:J274)</f>
        <v>29.04</v>
      </c>
    </row>
    <row r="273" spans="1:10" ht="12" customHeight="1">
      <c r="A273" s="156"/>
      <c r="B273" s="67"/>
      <c r="C273" s="68"/>
      <c r="D273" s="56">
        <v>2212</v>
      </c>
      <c r="E273" s="91">
        <v>5169</v>
      </c>
      <c r="F273" s="101" t="s">
        <v>9</v>
      </c>
      <c r="G273" s="5">
        <v>0</v>
      </c>
      <c r="H273" s="5">
        <v>4.356</v>
      </c>
      <c r="I273" s="5"/>
      <c r="J273" s="5">
        <f>H273+I273</f>
        <v>4.356</v>
      </c>
    </row>
    <row r="274" spans="1:10" ht="12" customHeight="1" thickBot="1">
      <c r="A274" s="156"/>
      <c r="B274" s="108"/>
      <c r="C274" s="109" t="s">
        <v>62</v>
      </c>
      <c r="D274" s="46">
        <v>2212</v>
      </c>
      <c r="E274" s="110">
        <v>5169</v>
      </c>
      <c r="F274" s="119" t="s">
        <v>9</v>
      </c>
      <c r="G274" s="2">
        <v>0</v>
      </c>
      <c r="H274" s="2">
        <v>24.684</v>
      </c>
      <c r="I274" s="2"/>
      <c r="J274" s="140">
        <f>H274+I274</f>
        <v>24.684</v>
      </c>
    </row>
    <row r="275" spans="1:10" ht="12" customHeight="1">
      <c r="A275" s="156"/>
      <c r="B275" s="13" t="s">
        <v>2</v>
      </c>
      <c r="C275" s="59" t="s">
        <v>181</v>
      </c>
      <c r="D275" s="65" t="s">
        <v>0</v>
      </c>
      <c r="E275" s="65" t="s">
        <v>0</v>
      </c>
      <c r="F275" s="66" t="s">
        <v>182</v>
      </c>
      <c r="G275" s="42">
        <f>SUM(G276:G278)</f>
        <v>0</v>
      </c>
      <c r="H275" s="11">
        <f>SUM(H276:H278)</f>
        <v>475.373</v>
      </c>
      <c r="I275" s="42">
        <f>SUM(I276:I278)</f>
        <v>0</v>
      </c>
      <c r="J275" s="42">
        <f>SUM(J276:J278)</f>
        <v>475.373</v>
      </c>
    </row>
    <row r="276" spans="1:10" ht="12" customHeight="1">
      <c r="A276" s="156"/>
      <c r="B276" s="67"/>
      <c r="C276" s="68"/>
      <c r="D276" s="56">
        <v>2212</v>
      </c>
      <c r="E276" s="91">
        <v>5169</v>
      </c>
      <c r="F276" s="101" t="s">
        <v>9</v>
      </c>
      <c r="G276" s="5">
        <v>0</v>
      </c>
      <c r="H276" s="5">
        <v>4.356</v>
      </c>
      <c r="I276" s="5"/>
      <c r="J276" s="5">
        <f>H276+I276</f>
        <v>4.356</v>
      </c>
    </row>
    <row r="277" spans="1:10" ht="12" customHeight="1">
      <c r="A277" s="156"/>
      <c r="B277" s="67"/>
      <c r="C277" s="100" t="s">
        <v>62</v>
      </c>
      <c r="D277" s="56">
        <v>2212</v>
      </c>
      <c r="E277" s="91">
        <v>5169</v>
      </c>
      <c r="F277" s="101" t="s">
        <v>9</v>
      </c>
      <c r="G277" s="5">
        <v>0</v>
      </c>
      <c r="H277" s="5">
        <f>24.684+11.798+8.47</f>
        <v>44.952</v>
      </c>
      <c r="I277" s="5"/>
      <c r="J277" s="143">
        <f>H277+I277</f>
        <v>44.952</v>
      </c>
    </row>
    <row r="278" spans="1:10" ht="12" customHeight="1" thickBot="1">
      <c r="A278" s="156"/>
      <c r="B278" s="67"/>
      <c r="C278" s="68"/>
      <c r="D278" s="56">
        <v>2212</v>
      </c>
      <c r="E278" s="91">
        <v>5171</v>
      </c>
      <c r="F278" s="92" t="s">
        <v>11</v>
      </c>
      <c r="G278" s="5">
        <v>0</v>
      </c>
      <c r="H278" s="2">
        <v>426.065</v>
      </c>
      <c r="I278" s="2"/>
      <c r="J278" s="5">
        <f>H278+I278</f>
        <v>426.065</v>
      </c>
    </row>
    <row r="279" spans="1:10" ht="12" customHeight="1">
      <c r="A279" s="156"/>
      <c r="B279" s="13" t="s">
        <v>2</v>
      </c>
      <c r="C279" s="59" t="s">
        <v>183</v>
      </c>
      <c r="D279" s="65" t="s">
        <v>0</v>
      </c>
      <c r="E279" s="65" t="s">
        <v>0</v>
      </c>
      <c r="F279" s="66" t="s">
        <v>184</v>
      </c>
      <c r="G279" s="42">
        <f>SUM(G280:G282)</f>
        <v>0</v>
      </c>
      <c r="H279" s="11">
        <f>SUM(H280:H282)</f>
        <v>387.753</v>
      </c>
      <c r="I279" s="42">
        <f>SUM(I280:I282)</f>
        <v>0</v>
      </c>
      <c r="J279" s="42">
        <f>SUM(J280:J282)</f>
        <v>387.753</v>
      </c>
    </row>
    <row r="280" spans="1:10" ht="12" customHeight="1">
      <c r="A280" s="156"/>
      <c r="B280" s="67"/>
      <c r="C280" s="68"/>
      <c r="D280" s="56">
        <v>2212</v>
      </c>
      <c r="E280" s="91">
        <v>5169</v>
      </c>
      <c r="F280" s="101" t="s">
        <v>9</v>
      </c>
      <c r="G280" s="5">
        <v>0</v>
      </c>
      <c r="H280" s="5">
        <v>4.356</v>
      </c>
      <c r="I280" s="5"/>
      <c r="J280" s="5">
        <f>H280+I280</f>
        <v>4.356</v>
      </c>
    </row>
    <row r="281" spans="1:10" ht="12" customHeight="1">
      <c r="A281" s="156"/>
      <c r="B281" s="67"/>
      <c r="C281" s="100" t="s">
        <v>62</v>
      </c>
      <c r="D281" s="56">
        <v>2212</v>
      </c>
      <c r="E281" s="91">
        <v>5169</v>
      </c>
      <c r="F281" s="101" t="s">
        <v>9</v>
      </c>
      <c r="G281" s="5">
        <v>0</v>
      </c>
      <c r="H281" s="5">
        <f>24.684+23.595+16.94</f>
        <v>65.219</v>
      </c>
      <c r="I281" s="5"/>
      <c r="J281" s="143">
        <f>H281+I281</f>
        <v>65.219</v>
      </c>
    </row>
    <row r="282" spans="1:10" ht="12" customHeight="1" thickBot="1">
      <c r="A282" s="156"/>
      <c r="B282" s="95"/>
      <c r="C282" s="96" t="s">
        <v>62</v>
      </c>
      <c r="D282" s="55">
        <v>2212</v>
      </c>
      <c r="E282" s="97">
        <v>5171</v>
      </c>
      <c r="F282" s="98" t="s">
        <v>11</v>
      </c>
      <c r="G282" s="3">
        <v>0</v>
      </c>
      <c r="H282" s="2">
        <v>318.178</v>
      </c>
      <c r="I282" s="2"/>
      <c r="J282" s="144">
        <f>H282+I282</f>
        <v>318.178</v>
      </c>
    </row>
    <row r="283" spans="1:10" ht="12" customHeight="1">
      <c r="A283" s="156"/>
      <c r="B283" s="13" t="s">
        <v>2</v>
      </c>
      <c r="C283" s="59" t="s">
        <v>185</v>
      </c>
      <c r="D283" s="65" t="s">
        <v>0</v>
      </c>
      <c r="E283" s="65" t="s">
        <v>0</v>
      </c>
      <c r="F283" s="66" t="s">
        <v>186</v>
      </c>
      <c r="G283" s="42">
        <f>SUM(G284:G286)</f>
        <v>0</v>
      </c>
      <c r="H283" s="11">
        <f>SUM(H284:H286)</f>
        <v>1320.8</v>
      </c>
      <c r="I283" s="42">
        <f>SUM(I284:I286)</f>
        <v>0</v>
      </c>
      <c r="J283" s="42">
        <f>SUM(J284:J286)</f>
        <v>1320.8</v>
      </c>
    </row>
    <row r="284" spans="1:10" ht="12" customHeight="1">
      <c r="A284" s="156"/>
      <c r="B284" s="67"/>
      <c r="C284" s="68"/>
      <c r="D284" s="56">
        <v>2212</v>
      </c>
      <c r="E284" s="91">
        <v>5169</v>
      </c>
      <c r="F284" s="101" t="s">
        <v>9</v>
      </c>
      <c r="G284" s="5">
        <v>0</v>
      </c>
      <c r="H284" s="5">
        <v>4.356</v>
      </c>
      <c r="I284" s="5"/>
      <c r="J284" s="5">
        <f>H284+I284</f>
        <v>4.356</v>
      </c>
    </row>
    <row r="285" spans="1:10" ht="12" customHeight="1">
      <c r="A285" s="156"/>
      <c r="B285" s="67"/>
      <c r="C285" s="100" t="s">
        <v>62</v>
      </c>
      <c r="D285" s="56">
        <v>2212</v>
      </c>
      <c r="E285" s="91">
        <v>5169</v>
      </c>
      <c r="F285" s="101" t="s">
        <v>9</v>
      </c>
      <c r="G285" s="5">
        <v>0</v>
      </c>
      <c r="H285" s="5">
        <f>24.684+69.696+31.46</f>
        <v>125.84</v>
      </c>
      <c r="I285" s="5"/>
      <c r="J285" s="143">
        <f>H285+I285</f>
        <v>125.84</v>
      </c>
    </row>
    <row r="286" spans="1:10" ht="12" customHeight="1" thickBot="1">
      <c r="A286" s="156"/>
      <c r="B286" s="95"/>
      <c r="C286" s="96" t="s">
        <v>62</v>
      </c>
      <c r="D286" s="55">
        <v>2212</v>
      </c>
      <c r="E286" s="97">
        <v>5171</v>
      </c>
      <c r="F286" s="98" t="s">
        <v>11</v>
      </c>
      <c r="G286" s="3">
        <v>0</v>
      </c>
      <c r="H286" s="2">
        <v>1190.604</v>
      </c>
      <c r="I286" s="2"/>
      <c r="J286" s="144">
        <f>H286+I286</f>
        <v>1190.604</v>
      </c>
    </row>
    <row r="287" spans="1:10" ht="12" customHeight="1">
      <c r="A287" s="156"/>
      <c r="B287" s="13" t="s">
        <v>2</v>
      </c>
      <c r="C287" s="59" t="s">
        <v>187</v>
      </c>
      <c r="D287" s="65" t="s">
        <v>0</v>
      </c>
      <c r="E287" s="65" t="s">
        <v>0</v>
      </c>
      <c r="F287" s="66" t="s">
        <v>188</v>
      </c>
      <c r="G287" s="42">
        <f>SUM(G288:G290)</f>
        <v>0</v>
      </c>
      <c r="H287" s="11">
        <f>SUM(H288:H290)</f>
        <v>1546.287</v>
      </c>
      <c r="I287" s="42">
        <f>SUM(I288:I290)</f>
        <v>0</v>
      </c>
      <c r="J287" s="42">
        <f>SUM(J288:J290)</f>
        <v>1546.287</v>
      </c>
    </row>
    <row r="288" spans="1:10" ht="12" customHeight="1">
      <c r="A288" s="156"/>
      <c r="B288" s="67"/>
      <c r="C288" s="68"/>
      <c r="D288" s="56">
        <v>2212</v>
      </c>
      <c r="E288" s="91">
        <v>5169</v>
      </c>
      <c r="F288" s="101" t="s">
        <v>9</v>
      </c>
      <c r="G288" s="5">
        <v>0</v>
      </c>
      <c r="H288" s="5">
        <v>4.356</v>
      </c>
      <c r="I288" s="5"/>
      <c r="J288" s="5">
        <f>H288+I288</f>
        <v>4.356</v>
      </c>
    </row>
    <row r="289" spans="1:10" ht="12" customHeight="1">
      <c r="A289" s="156"/>
      <c r="B289" s="67"/>
      <c r="C289" s="100" t="s">
        <v>62</v>
      </c>
      <c r="D289" s="56">
        <v>2212</v>
      </c>
      <c r="E289" s="91">
        <v>5169</v>
      </c>
      <c r="F289" s="101" t="s">
        <v>9</v>
      </c>
      <c r="G289" s="5">
        <v>0</v>
      </c>
      <c r="H289" s="5">
        <f>24.684+19.602+13.915</f>
        <v>58.201</v>
      </c>
      <c r="I289" s="5"/>
      <c r="J289" s="143">
        <f>H289+I289</f>
        <v>58.201</v>
      </c>
    </row>
    <row r="290" spans="1:10" ht="12" customHeight="1" thickBot="1">
      <c r="A290" s="156"/>
      <c r="B290" s="95"/>
      <c r="C290" s="96" t="s">
        <v>62</v>
      </c>
      <c r="D290" s="55">
        <v>2212</v>
      </c>
      <c r="E290" s="97">
        <v>5171</v>
      </c>
      <c r="F290" s="98" t="s">
        <v>11</v>
      </c>
      <c r="G290" s="3">
        <v>0</v>
      </c>
      <c r="H290" s="2">
        <v>1483.73</v>
      </c>
      <c r="I290" s="2"/>
      <c r="J290" s="144">
        <f>H290+I290</f>
        <v>1483.73</v>
      </c>
    </row>
    <row r="291" spans="1:10" ht="12" customHeight="1">
      <c r="A291" s="156"/>
      <c r="B291" s="13" t="s">
        <v>2</v>
      </c>
      <c r="C291" s="59" t="s">
        <v>189</v>
      </c>
      <c r="D291" s="65" t="s">
        <v>0</v>
      </c>
      <c r="E291" s="65" t="s">
        <v>0</v>
      </c>
      <c r="F291" s="66" t="s">
        <v>190</v>
      </c>
      <c r="G291" s="42">
        <f>SUM(G292:G294)</f>
        <v>0</v>
      </c>
      <c r="H291" s="11">
        <f>SUM(H292:H294)</f>
        <v>586.077</v>
      </c>
      <c r="I291" s="42">
        <f>SUM(I292:I294)</f>
        <v>0</v>
      </c>
      <c r="J291" s="42">
        <f>SUM(J292:J294)</f>
        <v>586.077</v>
      </c>
    </row>
    <row r="292" spans="1:10" ht="12" customHeight="1">
      <c r="A292" s="156"/>
      <c r="B292" s="67"/>
      <c r="C292" s="68"/>
      <c r="D292" s="56">
        <v>2212</v>
      </c>
      <c r="E292" s="91">
        <v>5169</v>
      </c>
      <c r="F292" s="101" t="s">
        <v>9</v>
      </c>
      <c r="G292" s="5">
        <v>0</v>
      </c>
      <c r="H292" s="5">
        <v>4.356</v>
      </c>
      <c r="I292" s="5"/>
      <c r="J292" s="5">
        <f>H292+I292</f>
        <v>4.356</v>
      </c>
    </row>
    <row r="293" spans="1:10" ht="12" customHeight="1">
      <c r="A293" s="156"/>
      <c r="B293" s="67"/>
      <c r="C293" s="100" t="s">
        <v>62</v>
      </c>
      <c r="D293" s="56">
        <v>2212</v>
      </c>
      <c r="E293" s="91">
        <v>5169</v>
      </c>
      <c r="F293" s="101" t="s">
        <v>9</v>
      </c>
      <c r="G293" s="5">
        <v>0</v>
      </c>
      <c r="H293" s="5">
        <f>24.684+19.602+13.915</f>
        <v>58.201</v>
      </c>
      <c r="I293" s="5"/>
      <c r="J293" s="143">
        <f>H293+I293</f>
        <v>58.201</v>
      </c>
    </row>
    <row r="294" spans="1:10" ht="12" customHeight="1" thickBot="1">
      <c r="A294" s="156"/>
      <c r="B294" s="95"/>
      <c r="C294" s="96" t="s">
        <v>62</v>
      </c>
      <c r="D294" s="55">
        <v>2212</v>
      </c>
      <c r="E294" s="97">
        <v>5171</v>
      </c>
      <c r="F294" s="98" t="s">
        <v>11</v>
      </c>
      <c r="G294" s="3">
        <v>0</v>
      </c>
      <c r="H294" s="14">
        <v>523.52</v>
      </c>
      <c r="I294" s="2"/>
      <c r="J294" s="144">
        <f>H294+I294</f>
        <v>523.52</v>
      </c>
    </row>
    <row r="295" spans="1:10" ht="12" customHeight="1">
      <c r="A295" s="156"/>
      <c r="B295" s="13" t="s">
        <v>2</v>
      </c>
      <c r="C295" s="59" t="s">
        <v>191</v>
      </c>
      <c r="D295" s="65" t="s">
        <v>0</v>
      </c>
      <c r="E295" s="65" t="s">
        <v>0</v>
      </c>
      <c r="F295" s="66" t="s">
        <v>192</v>
      </c>
      <c r="G295" s="42">
        <f>SUM(G296:G298)</f>
        <v>0</v>
      </c>
      <c r="H295" s="11">
        <f>SUM(H296:H298)</f>
        <v>3485.017</v>
      </c>
      <c r="I295" s="42">
        <f>SUM(I296:I298)</f>
        <v>0</v>
      </c>
      <c r="J295" s="42">
        <f>SUM(J296:J298)</f>
        <v>3485.017</v>
      </c>
    </row>
    <row r="296" spans="1:10" ht="12" customHeight="1">
      <c r="A296" s="156"/>
      <c r="B296" s="67"/>
      <c r="C296" s="68"/>
      <c r="D296" s="56">
        <v>2212</v>
      </c>
      <c r="E296" s="91">
        <v>5169</v>
      </c>
      <c r="F296" s="101" t="s">
        <v>9</v>
      </c>
      <c r="G296" s="5">
        <v>0</v>
      </c>
      <c r="H296" s="5">
        <v>4.356</v>
      </c>
      <c r="I296" s="5"/>
      <c r="J296" s="5">
        <f>H296+I296</f>
        <v>4.356</v>
      </c>
    </row>
    <row r="297" spans="1:10" ht="12" customHeight="1">
      <c r="A297" s="156"/>
      <c r="B297" s="67"/>
      <c r="C297" s="100" t="s">
        <v>62</v>
      </c>
      <c r="D297" s="56">
        <v>2212</v>
      </c>
      <c r="E297" s="91">
        <v>5169</v>
      </c>
      <c r="F297" s="101" t="s">
        <v>9</v>
      </c>
      <c r="G297" s="5">
        <v>0</v>
      </c>
      <c r="H297" s="5">
        <f>24.684+47.722+42.35</f>
        <v>114.756</v>
      </c>
      <c r="I297" s="5"/>
      <c r="J297" s="143">
        <f>H297+I297</f>
        <v>114.756</v>
      </c>
    </row>
    <row r="298" spans="1:10" ht="12" customHeight="1" thickBot="1">
      <c r="A298" s="156"/>
      <c r="B298" s="95"/>
      <c r="C298" s="74"/>
      <c r="D298" s="55">
        <v>2212</v>
      </c>
      <c r="E298" s="97">
        <v>5171</v>
      </c>
      <c r="F298" s="98" t="s">
        <v>11</v>
      </c>
      <c r="G298" s="3">
        <v>0</v>
      </c>
      <c r="H298" s="2">
        <f>2513.988+851.917</f>
        <v>3365.9049999999997</v>
      </c>
      <c r="I298" s="5"/>
      <c r="J298" s="3">
        <f>H298+I298</f>
        <v>3365.9049999999997</v>
      </c>
    </row>
    <row r="299" spans="1:10" ht="12" customHeight="1">
      <c r="A299" s="156"/>
      <c r="B299" s="13" t="s">
        <v>2</v>
      </c>
      <c r="C299" s="59" t="s">
        <v>193</v>
      </c>
      <c r="D299" s="65" t="s">
        <v>0</v>
      </c>
      <c r="E299" s="65" t="s">
        <v>0</v>
      </c>
      <c r="F299" s="66" t="s">
        <v>194</v>
      </c>
      <c r="G299" s="42">
        <f>SUM(G300:G301)</f>
        <v>0</v>
      </c>
      <c r="H299" s="11">
        <f>SUM(H300:H301)</f>
        <v>29.04</v>
      </c>
      <c r="I299" s="42">
        <f>SUM(I300:I301)</f>
        <v>0</v>
      </c>
      <c r="J299" s="42">
        <f>SUM(J300:J301)</f>
        <v>29.04</v>
      </c>
    </row>
    <row r="300" spans="1:10" ht="12" customHeight="1">
      <c r="A300" s="156"/>
      <c r="B300" s="67"/>
      <c r="C300" s="68"/>
      <c r="D300" s="56">
        <v>2212</v>
      </c>
      <c r="E300" s="91">
        <v>5169</v>
      </c>
      <c r="F300" s="101" t="s">
        <v>9</v>
      </c>
      <c r="G300" s="5">
        <v>0</v>
      </c>
      <c r="H300" s="5">
        <v>4.356</v>
      </c>
      <c r="I300" s="5"/>
      <c r="J300" s="5">
        <f>H300+I300</f>
        <v>4.356</v>
      </c>
    </row>
    <row r="301" spans="1:10" ht="12" customHeight="1" thickBot="1">
      <c r="A301" s="156"/>
      <c r="B301" s="79"/>
      <c r="C301" s="111" t="s">
        <v>62</v>
      </c>
      <c r="D301" s="56">
        <v>2212</v>
      </c>
      <c r="E301" s="91">
        <v>5169</v>
      </c>
      <c r="F301" s="101" t="s">
        <v>9</v>
      </c>
      <c r="G301" s="4">
        <v>0</v>
      </c>
      <c r="H301" s="2">
        <v>24.684</v>
      </c>
      <c r="I301" s="2"/>
      <c r="J301" s="143">
        <f>H301+I301</f>
        <v>24.684</v>
      </c>
    </row>
    <row r="302" spans="1:10" ht="12" customHeight="1">
      <c r="A302" s="156"/>
      <c r="B302" s="13" t="s">
        <v>2</v>
      </c>
      <c r="C302" s="59" t="s">
        <v>195</v>
      </c>
      <c r="D302" s="65" t="s">
        <v>0</v>
      </c>
      <c r="E302" s="65" t="s">
        <v>0</v>
      </c>
      <c r="F302" s="66" t="s">
        <v>196</v>
      </c>
      <c r="G302" s="42">
        <f>SUM(G303:G305)</f>
        <v>0</v>
      </c>
      <c r="H302" s="11">
        <f>SUM(H303:H305)</f>
        <v>743.0550000000001</v>
      </c>
      <c r="I302" s="42">
        <f>SUM(I303:I305)</f>
        <v>0</v>
      </c>
      <c r="J302" s="42">
        <f>SUM(J303:J305)</f>
        <v>743.0550000000001</v>
      </c>
    </row>
    <row r="303" spans="1:10" ht="12" customHeight="1">
      <c r="A303" s="156"/>
      <c r="B303" s="67"/>
      <c r="C303" s="68"/>
      <c r="D303" s="56">
        <v>2212</v>
      </c>
      <c r="E303" s="91">
        <v>5169</v>
      </c>
      <c r="F303" s="101" t="s">
        <v>9</v>
      </c>
      <c r="G303" s="5">
        <v>0</v>
      </c>
      <c r="H303" s="5">
        <v>4.356</v>
      </c>
      <c r="I303" s="5"/>
      <c r="J303" s="5">
        <f>H303+I303</f>
        <v>4.356</v>
      </c>
    </row>
    <row r="304" spans="1:10" ht="12" customHeight="1">
      <c r="A304" s="156"/>
      <c r="B304" s="67"/>
      <c r="C304" s="120" t="s">
        <v>62</v>
      </c>
      <c r="D304" s="56">
        <v>2212</v>
      </c>
      <c r="E304" s="91">
        <v>5169</v>
      </c>
      <c r="F304" s="101" t="s">
        <v>9</v>
      </c>
      <c r="G304" s="6">
        <v>0</v>
      </c>
      <c r="H304" s="5">
        <f>24.684+23.595+16.94</f>
        <v>65.219</v>
      </c>
      <c r="I304" s="5"/>
      <c r="J304" s="143">
        <f>H304+I304</f>
        <v>65.219</v>
      </c>
    </row>
    <row r="305" spans="1:10" ht="12" customHeight="1" thickBot="1">
      <c r="A305" s="156"/>
      <c r="B305" s="95"/>
      <c r="C305" s="96" t="s">
        <v>62</v>
      </c>
      <c r="D305" s="55">
        <v>2212</v>
      </c>
      <c r="E305" s="97">
        <v>5171</v>
      </c>
      <c r="F305" s="98" t="s">
        <v>11</v>
      </c>
      <c r="G305" s="3">
        <v>0</v>
      </c>
      <c r="H305" s="16">
        <v>673.48</v>
      </c>
      <c r="I305" s="2"/>
      <c r="J305" s="144">
        <f>H305+I305</f>
        <v>673.48</v>
      </c>
    </row>
    <row r="306" spans="1:10" ht="12" customHeight="1">
      <c r="A306" s="156"/>
      <c r="B306" s="13" t="s">
        <v>2</v>
      </c>
      <c r="C306" s="59" t="s">
        <v>197</v>
      </c>
      <c r="D306" s="65" t="s">
        <v>0</v>
      </c>
      <c r="E306" s="65" t="s">
        <v>0</v>
      </c>
      <c r="F306" s="66" t="s">
        <v>198</v>
      </c>
      <c r="G306" s="42">
        <f>SUM(G307:G308)</f>
        <v>0</v>
      </c>
      <c r="H306" s="11">
        <f>SUM(H307:H308)</f>
        <v>29.04</v>
      </c>
      <c r="I306" s="42">
        <f>SUM(I307:I308)</f>
        <v>0</v>
      </c>
      <c r="J306" s="42">
        <f>SUM(J307:J308)</f>
        <v>29.04</v>
      </c>
    </row>
    <row r="307" spans="1:10" ht="12" customHeight="1">
      <c r="A307" s="156"/>
      <c r="B307" s="67"/>
      <c r="C307" s="68"/>
      <c r="D307" s="56">
        <v>2212</v>
      </c>
      <c r="E307" s="91">
        <v>5169</v>
      </c>
      <c r="F307" s="101" t="s">
        <v>9</v>
      </c>
      <c r="G307" s="5">
        <v>0</v>
      </c>
      <c r="H307" s="5">
        <v>4.356</v>
      </c>
      <c r="I307" s="5"/>
      <c r="J307" s="5">
        <f>H307+I307</f>
        <v>4.356</v>
      </c>
    </row>
    <row r="308" spans="1:10" ht="12" customHeight="1" thickBot="1">
      <c r="A308" s="156"/>
      <c r="B308" s="79"/>
      <c r="C308" s="111" t="s">
        <v>62</v>
      </c>
      <c r="D308" s="56">
        <v>2212</v>
      </c>
      <c r="E308" s="91">
        <v>5169</v>
      </c>
      <c r="F308" s="101" t="s">
        <v>9</v>
      </c>
      <c r="G308" s="4">
        <v>0</v>
      </c>
      <c r="H308" s="2">
        <v>24.684</v>
      </c>
      <c r="I308" s="2"/>
      <c r="J308" s="143">
        <f>H308+I308</f>
        <v>24.684</v>
      </c>
    </row>
    <row r="309" spans="1:10" ht="12" customHeight="1">
      <c r="A309" s="156"/>
      <c r="B309" s="13" t="s">
        <v>2</v>
      </c>
      <c r="C309" s="59" t="s">
        <v>199</v>
      </c>
      <c r="D309" s="65" t="s">
        <v>0</v>
      </c>
      <c r="E309" s="65" t="s">
        <v>0</v>
      </c>
      <c r="F309" s="66" t="s">
        <v>200</v>
      </c>
      <c r="G309" s="42">
        <f>SUM(G310:G312)</f>
        <v>0</v>
      </c>
      <c r="H309" s="11">
        <f>SUM(H310:H312)</f>
        <v>1510.55</v>
      </c>
      <c r="I309" s="42">
        <f>SUM(I310:I312)</f>
        <v>0</v>
      </c>
      <c r="J309" s="42">
        <f>SUM(J310:J312)</f>
        <v>1510.55</v>
      </c>
    </row>
    <row r="310" spans="1:10" ht="12" customHeight="1">
      <c r="A310" s="156"/>
      <c r="B310" s="67"/>
      <c r="C310" s="68"/>
      <c r="D310" s="56">
        <v>2212</v>
      </c>
      <c r="E310" s="91">
        <v>5169</v>
      </c>
      <c r="F310" s="101" t="s">
        <v>9</v>
      </c>
      <c r="G310" s="5">
        <v>0</v>
      </c>
      <c r="H310" s="5">
        <v>4.356</v>
      </c>
      <c r="I310" s="5"/>
      <c r="J310" s="5">
        <f>H310+I310</f>
        <v>4.356</v>
      </c>
    </row>
    <row r="311" spans="1:10" ht="12" customHeight="1">
      <c r="A311" s="156"/>
      <c r="B311" s="116"/>
      <c r="C311" s="100" t="s">
        <v>62</v>
      </c>
      <c r="D311" s="56">
        <v>2212</v>
      </c>
      <c r="E311" s="91">
        <v>5169</v>
      </c>
      <c r="F311" s="101" t="s">
        <v>9</v>
      </c>
      <c r="G311" s="5">
        <v>0</v>
      </c>
      <c r="H311" s="5">
        <f>24.684+21.175+12.5</f>
        <v>58.359</v>
      </c>
      <c r="I311" s="5"/>
      <c r="J311" s="143">
        <f>H311+I311</f>
        <v>58.359</v>
      </c>
    </row>
    <row r="312" spans="1:10" ht="12" customHeight="1" thickBot="1">
      <c r="A312" s="156"/>
      <c r="B312" s="95"/>
      <c r="C312" s="96" t="s">
        <v>62</v>
      </c>
      <c r="D312" s="55">
        <v>2212</v>
      </c>
      <c r="E312" s="97">
        <v>5171</v>
      </c>
      <c r="F312" s="98" t="s">
        <v>11</v>
      </c>
      <c r="G312" s="3">
        <v>0</v>
      </c>
      <c r="H312" s="2">
        <v>1447.835</v>
      </c>
      <c r="I312" s="6"/>
      <c r="J312" s="144">
        <f>H312+I312</f>
        <v>1447.835</v>
      </c>
    </row>
    <row r="313" spans="1:10" ht="12" customHeight="1">
      <c r="A313" s="156"/>
      <c r="B313" s="13" t="s">
        <v>2</v>
      </c>
      <c r="C313" s="59" t="s">
        <v>201</v>
      </c>
      <c r="D313" s="65" t="s">
        <v>0</v>
      </c>
      <c r="E313" s="65" t="s">
        <v>0</v>
      </c>
      <c r="F313" s="66" t="s">
        <v>202</v>
      </c>
      <c r="G313" s="42">
        <f>SUM(G314:G316)</f>
        <v>0</v>
      </c>
      <c r="H313" s="11">
        <f>SUM(H314:H316)</f>
        <v>993.13</v>
      </c>
      <c r="I313" s="42">
        <f>SUM(I314:I316)</f>
        <v>0</v>
      </c>
      <c r="J313" s="42">
        <f>SUM(J314:J316)</f>
        <v>993.13</v>
      </c>
    </row>
    <row r="314" spans="1:10" ht="12" customHeight="1">
      <c r="A314" s="156"/>
      <c r="B314" s="67"/>
      <c r="C314" s="68"/>
      <c r="D314" s="56">
        <v>2212</v>
      </c>
      <c r="E314" s="91">
        <v>5169</v>
      </c>
      <c r="F314" s="101" t="s">
        <v>9</v>
      </c>
      <c r="G314" s="5">
        <v>0</v>
      </c>
      <c r="H314" s="5">
        <v>4.356</v>
      </c>
      <c r="I314" s="5"/>
      <c r="J314" s="5">
        <f>H314+I314</f>
        <v>4.356</v>
      </c>
    </row>
    <row r="315" spans="1:10" ht="12" customHeight="1">
      <c r="A315" s="156"/>
      <c r="B315" s="116"/>
      <c r="C315" s="100" t="s">
        <v>62</v>
      </c>
      <c r="D315" s="56">
        <v>2212</v>
      </c>
      <c r="E315" s="91">
        <v>5169</v>
      </c>
      <c r="F315" s="101" t="s">
        <v>9</v>
      </c>
      <c r="G315" s="5">
        <v>0</v>
      </c>
      <c r="H315" s="5">
        <f>24.684+21.175+12.5</f>
        <v>58.359</v>
      </c>
      <c r="I315" s="5"/>
      <c r="J315" s="143">
        <f>H315+I315</f>
        <v>58.359</v>
      </c>
    </row>
    <row r="316" spans="1:10" ht="12" customHeight="1" thickBot="1">
      <c r="A316" s="156"/>
      <c r="B316" s="108"/>
      <c r="C316" s="109" t="s">
        <v>62</v>
      </c>
      <c r="D316" s="46">
        <v>2212</v>
      </c>
      <c r="E316" s="110">
        <v>5171</v>
      </c>
      <c r="F316" s="61" t="s">
        <v>11</v>
      </c>
      <c r="G316" s="2">
        <v>0</v>
      </c>
      <c r="H316" s="2">
        <v>930.415</v>
      </c>
      <c r="I316" s="2"/>
      <c r="J316" s="144">
        <f>H316+I316</f>
        <v>930.415</v>
      </c>
    </row>
    <row r="317" spans="1:10" ht="12" customHeight="1">
      <c r="A317" s="156"/>
      <c r="B317" s="13" t="s">
        <v>2</v>
      </c>
      <c r="C317" s="59" t="s">
        <v>203</v>
      </c>
      <c r="D317" s="65" t="s">
        <v>0</v>
      </c>
      <c r="E317" s="65" t="s">
        <v>0</v>
      </c>
      <c r="F317" s="66" t="s">
        <v>204</v>
      </c>
      <c r="G317" s="42">
        <f>SUM(G318:G320)</f>
        <v>0</v>
      </c>
      <c r="H317" s="11">
        <f>SUM(H318:H320)</f>
        <v>916.0169999999999</v>
      </c>
      <c r="I317" s="42">
        <f>SUM(I318:I320)</f>
        <v>0</v>
      </c>
      <c r="J317" s="42">
        <f>SUM(J318:J320)</f>
        <v>916.0169999999999</v>
      </c>
    </row>
    <row r="318" spans="1:10" ht="12" customHeight="1">
      <c r="A318" s="156"/>
      <c r="B318" s="67"/>
      <c r="C318" s="68"/>
      <c r="D318" s="56">
        <v>2212</v>
      </c>
      <c r="E318" s="91">
        <v>5169</v>
      </c>
      <c r="F318" s="101" t="s">
        <v>9</v>
      </c>
      <c r="G318" s="5">
        <v>0</v>
      </c>
      <c r="H318" s="5">
        <v>4.356</v>
      </c>
      <c r="I318" s="5"/>
      <c r="J318" s="5">
        <f>H318+I318</f>
        <v>4.356</v>
      </c>
    </row>
    <row r="319" spans="1:10" ht="12" customHeight="1">
      <c r="A319" s="156"/>
      <c r="B319" s="67"/>
      <c r="C319" s="100" t="s">
        <v>62</v>
      </c>
      <c r="D319" s="56">
        <v>2212</v>
      </c>
      <c r="E319" s="91">
        <v>5169</v>
      </c>
      <c r="F319" s="101" t="s">
        <v>9</v>
      </c>
      <c r="G319" s="5">
        <v>0</v>
      </c>
      <c r="H319" s="5">
        <f>24.684+31.992+37.268</f>
        <v>93.944</v>
      </c>
      <c r="I319" s="5"/>
      <c r="J319" s="143">
        <f>H319+I319</f>
        <v>93.944</v>
      </c>
    </row>
    <row r="320" spans="1:10" ht="12" customHeight="1" thickBot="1">
      <c r="A320" s="156"/>
      <c r="B320" s="108"/>
      <c r="C320" s="118"/>
      <c r="D320" s="46">
        <v>2212</v>
      </c>
      <c r="E320" s="110">
        <v>5171</v>
      </c>
      <c r="F320" s="61" t="s">
        <v>11</v>
      </c>
      <c r="G320" s="2">
        <v>0</v>
      </c>
      <c r="H320" s="2">
        <v>817.717</v>
      </c>
      <c r="I320" s="2"/>
      <c r="J320" s="2">
        <f>H320+I320</f>
        <v>817.717</v>
      </c>
    </row>
    <row r="321" spans="1:10" ht="12" customHeight="1">
      <c r="A321" s="156"/>
      <c r="B321" s="13" t="s">
        <v>2</v>
      </c>
      <c r="C321" s="59" t="s">
        <v>205</v>
      </c>
      <c r="D321" s="65" t="s">
        <v>0</v>
      </c>
      <c r="E321" s="65" t="s">
        <v>0</v>
      </c>
      <c r="F321" s="66" t="s">
        <v>206</v>
      </c>
      <c r="G321" s="42">
        <f>SUM(G322:G324)</f>
        <v>0</v>
      </c>
      <c r="H321" s="11">
        <f>SUM(H322:H324)</f>
        <v>2032.162</v>
      </c>
      <c r="I321" s="42">
        <f>SUM(I322:I324)</f>
        <v>0</v>
      </c>
      <c r="J321" s="42">
        <f>SUM(J322:J324)</f>
        <v>2032.162</v>
      </c>
    </row>
    <row r="322" spans="1:10" ht="12" customHeight="1">
      <c r="A322" s="156"/>
      <c r="B322" s="67"/>
      <c r="C322" s="68"/>
      <c r="D322" s="56">
        <v>2212</v>
      </c>
      <c r="E322" s="91">
        <v>5169</v>
      </c>
      <c r="F322" s="101" t="s">
        <v>9</v>
      </c>
      <c r="G322" s="5">
        <v>0</v>
      </c>
      <c r="H322" s="5">
        <v>4.356</v>
      </c>
      <c r="I322" s="5"/>
      <c r="J322" s="5">
        <f>H322+I322</f>
        <v>4.356</v>
      </c>
    </row>
    <row r="323" spans="1:10" ht="12" customHeight="1">
      <c r="A323" s="156"/>
      <c r="B323" s="67"/>
      <c r="C323" s="100" t="s">
        <v>62</v>
      </c>
      <c r="D323" s="56">
        <v>2212</v>
      </c>
      <c r="E323" s="91">
        <v>5169</v>
      </c>
      <c r="F323" s="101" t="s">
        <v>9</v>
      </c>
      <c r="G323" s="5">
        <v>0</v>
      </c>
      <c r="H323" s="5">
        <f>24.684+14.822+9.377</f>
        <v>48.883</v>
      </c>
      <c r="I323" s="5"/>
      <c r="J323" s="143">
        <f>H323+I323</f>
        <v>48.883</v>
      </c>
    </row>
    <row r="324" spans="1:10" ht="12" customHeight="1" thickBot="1">
      <c r="A324" s="156"/>
      <c r="B324" s="95"/>
      <c r="C324" s="96" t="s">
        <v>62</v>
      </c>
      <c r="D324" s="55">
        <v>2212</v>
      </c>
      <c r="E324" s="97">
        <v>5171</v>
      </c>
      <c r="F324" s="98" t="s">
        <v>11</v>
      </c>
      <c r="G324" s="3">
        <v>0</v>
      </c>
      <c r="H324" s="2">
        <f>3957.846/2</f>
        <v>1978.923</v>
      </c>
      <c r="I324" s="2"/>
      <c r="J324" s="144">
        <f>H324+I324</f>
        <v>1978.923</v>
      </c>
    </row>
    <row r="325" spans="1:10" ht="12" customHeight="1">
      <c r="A325" s="156"/>
      <c r="B325" s="13" t="s">
        <v>2</v>
      </c>
      <c r="C325" s="59" t="s">
        <v>207</v>
      </c>
      <c r="D325" s="65" t="s">
        <v>0</v>
      </c>
      <c r="E325" s="65" t="s">
        <v>0</v>
      </c>
      <c r="F325" s="66" t="s">
        <v>208</v>
      </c>
      <c r="G325" s="42">
        <f>SUM(G326:G328)</f>
        <v>0</v>
      </c>
      <c r="H325" s="11">
        <f>SUM(H326:H328)</f>
        <v>1501.533</v>
      </c>
      <c r="I325" s="42">
        <f>SUM(I326:I328)</f>
        <v>0</v>
      </c>
      <c r="J325" s="42">
        <f>SUM(J326:J328)</f>
        <v>1501.533</v>
      </c>
    </row>
    <row r="326" spans="1:10" ht="12" customHeight="1">
      <c r="A326" s="156"/>
      <c r="B326" s="67"/>
      <c r="C326" s="68"/>
      <c r="D326" s="56">
        <v>2212</v>
      </c>
      <c r="E326" s="91">
        <v>5169</v>
      </c>
      <c r="F326" s="101" t="s">
        <v>9</v>
      </c>
      <c r="G326" s="5">
        <v>0</v>
      </c>
      <c r="H326" s="5">
        <v>4.356</v>
      </c>
      <c r="I326" s="5"/>
      <c r="J326" s="5">
        <f>H326+I326</f>
        <v>4.356</v>
      </c>
    </row>
    <row r="327" spans="1:10" ht="12" customHeight="1">
      <c r="A327" s="156"/>
      <c r="B327" s="67"/>
      <c r="C327" s="100" t="s">
        <v>62</v>
      </c>
      <c r="D327" s="56">
        <v>2212</v>
      </c>
      <c r="E327" s="91">
        <v>5169</v>
      </c>
      <c r="F327" s="101" t="s">
        <v>9</v>
      </c>
      <c r="G327" s="5">
        <v>0</v>
      </c>
      <c r="H327" s="5">
        <v>24.684</v>
      </c>
      <c r="I327" s="5"/>
      <c r="J327" s="143">
        <f>H327+I327</f>
        <v>24.684</v>
      </c>
    </row>
    <row r="328" spans="1:10" ht="12" customHeight="1" thickBot="1">
      <c r="A328" s="156"/>
      <c r="B328" s="95"/>
      <c r="C328" s="96" t="s">
        <v>62</v>
      </c>
      <c r="D328" s="55">
        <v>2212</v>
      </c>
      <c r="E328" s="97">
        <v>5171</v>
      </c>
      <c r="F328" s="98" t="s">
        <v>11</v>
      </c>
      <c r="G328" s="3">
        <v>0</v>
      </c>
      <c r="H328" s="2">
        <f>1102.234+370.259</f>
        <v>1472.493</v>
      </c>
      <c r="I328" s="5"/>
      <c r="J328" s="144">
        <f>H328+I328</f>
        <v>1472.493</v>
      </c>
    </row>
    <row r="329" spans="1:10" ht="12" customHeight="1">
      <c r="A329" s="156"/>
      <c r="B329" s="13" t="s">
        <v>2</v>
      </c>
      <c r="C329" s="59" t="s">
        <v>209</v>
      </c>
      <c r="D329" s="65" t="s">
        <v>0</v>
      </c>
      <c r="E329" s="65" t="s">
        <v>0</v>
      </c>
      <c r="F329" s="66" t="s">
        <v>210</v>
      </c>
      <c r="G329" s="42">
        <f>SUM(G330:G332)</f>
        <v>0</v>
      </c>
      <c r="H329" s="11">
        <f>SUM(H330:H332)</f>
        <v>1595.3609999999999</v>
      </c>
      <c r="I329" s="42">
        <f>SUM(I330:I332)</f>
        <v>0</v>
      </c>
      <c r="J329" s="42">
        <f>SUM(J330:J332)</f>
        <v>1595.3609999999999</v>
      </c>
    </row>
    <row r="330" spans="1:10" ht="12" customHeight="1">
      <c r="A330" s="156"/>
      <c r="B330" s="67"/>
      <c r="C330" s="68"/>
      <c r="D330" s="56">
        <v>2212</v>
      </c>
      <c r="E330" s="91">
        <v>5169</v>
      </c>
      <c r="F330" s="101" t="s">
        <v>9</v>
      </c>
      <c r="G330" s="5">
        <v>0</v>
      </c>
      <c r="H330" s="5">
        <v>4.356</v>
      </c>
      <c r="I330" s="5"/>
      <c r="J330" s="5">
        <f>H330+I330</f>
        <v>4.356</v>
      </c>
    </row>
    <row r="331" spans="1:10" ht="12" customHeight="1">
      <c r="A331" s="156"/>
      <c r="B331" s="116"/>
      <c r="C331" s="100" t="s">
        <v>62</v>
      </c>
      <c r="D331" s="56">
        <v>2212</v>
      </c>
      <c r="E331" s="91">
        <v>5169</v>
      </c>
      <c r="F331" s="101" t="s">
        <v>9</v>
      </c>
      <c r="G331" s="5">
        <v>0</v>
      </c>
      <c r="H331" s="5">
        <v>24.684</v>
      </c>
      <c r="I331" s="5"/>
      <c r="J331" s="143">
        <f>H331+I331</f>
        <v>24.684</v>
      </c>
    </row>
    <row r="332" spans="1:10" ht="12" customHeight="1" thickBot="1">
      <c r="A332" s="156"/>
      <c r="B332" s="121"/>
      <c r="C332" s="96" t="s">
        <v>62</v>
      </c>
      <c r="D332" s="55">
        <v>2212</v>
      </c>
      <c r="E332" s="97">
        <v>5171</v>
      </c>
      <c r="F332" s="98" t="s">
        <v>11</v>
      </c>
      <c r="G332" s="3">
        <v>0</v>
      </c>
      <c r="H332" s="2">
        <f>1284.812+281.509</f>
        <v>1566.321</v>
      </c>
      <c r="I332" s="2"/>
      <c r="J332" s="144">
        <f>H332+I332</f>
        <v>1566.321</v>
      </c>
    </row>
    <row r="333" spans="1:10" ht="12" customHeight="1">
      <c r="A333" s="156"/>
      <c r="B333" s="13" t="s">
        <v>2</v>
      </c>
      <c r="C333" s="59" t="s">
        <v>211</v>
      </c>
      <c r="D333" s="65" t="s">
        <v>0</v>
      </c>
      <c r="E333" s="65" t="s">
        <v>0</v>
      </c>
      <c r="F333" s="66" t="s">
        <v>212</v>
      </c>
      <c r="G333" s="42">
        <f>SUM(G334:G336)</f>
        <v>0</v>
      </c>
      <c r="H333" s="11">
        <f>SUM(H334:H336)</f>
        <v>2032.162</v>
      </c>
      <c r="I333" s="42">
        <f>SUM(I334:I336)</f>
        <v>0</v>
      </c>
      <c r="J333" s="42">
        <f>SUM(J334:J336)</f>
        <v>2032.162</v>
      </c>
    </row>
    <row r="334" spans="1:10" ht="12" customHeight="1">
      <c r="A334" s="156"/>
      <c r="B334" s="67"/>
      <c r="C334" s="68"/>
      <c r="D334" s="56">
        <v>2212</v>
      </c>
      <c r="E334" s="91">
        <v>5169</v>
      </c>
      <c r="F334" s="101" t="s">
        <v>9</v>
      </c>
      <c r="G334" s="5">
        <v>0</v>
      </c>
      <c r="H334" s="5">
        <v>4.356</v>
      </c>
      <c r="I334" s="5"/>
      <c r="J334" s="5">
        <f>H334+I334</f>
        <v>4.356</v>
      </c>
    </row>
    <row r="335" spans="1:10" ht="12" customHeight="1">
      <c r="A335" s="156"/>
      <c r="B335" s="67"/>
      <c r="C335" s="100" t="s">
        <v>62</v>
      </c>
      <c r="D335" s="56">
        <v>2212</v>
      </c>
      <c r="E335" s="91">
        <v>5169</v>
      </c>
      <c r="F335" s="101" t="s">
        <v>9</v>
      </c>
      <c r="G335" s="5">
        <v>0</v>
      </c>
      <c r="H335" s="5">
        <f>24.684+14.822+9.377</f>
        <v>48.883</v>
      </c>
      <c r="I335" s="5"/>
      <c r="J335" s="143">
        <f>H335+I335</f>
        <v>48.883</v>
      </c>
    </row>
    <row r="336" spans="1:10" ht="12" customHeight="1" thickBot="1">
      <c r="A336" s="156"/>
      <c r="B336" s="95"/>
      <c r="C336" s="96" t="s">
        <v>62</v>
      </c>
      <c r="D336" s="55">
        <v>2212</v>
      </c>
      <c r="E336" s="97">
        <v>5171</v>
      </c>
      <c r="F336" s="98" t="s">
        <v>11</v>
      </c>
      <c r="G336" s="3">
        <v>0</v>
      </c>
      <c r="H336" s="2">
        <f>3957.846/2</f>
        <v>1978.923</v>
      </c>
      <c r="I336" s="2"/>
      <c r="J336" s="144">
        <f>H336+I336</f>
        <v>1978.923</v>
      </c>
    </row>
    <row r="337" spans="1:10" ht="12" customHeight="1">
      <c r="A337" s="156"/>
      <c r="B337" s="13" t="s">
        <v>2</v>
      </c>
      <c r="C337" s="59" t="s">
        <v>213</v>
      </c>
      <c r="D337" s="65" t="s">
        <v>0</v>
      </c>
      <c r="E337" s="65" t="s">
        <v>0</v>
      </c>
      <c r="F337" s="66" t="s">
        <v>214</v>
      </c>
      <c r="G337" s="42">
        <f>SUM(G338:G340)</f>
        <v>0</v>
      </c>
      <c r="H337" s="11">
        <f>SUM(H338:H340)</f>
        <v>2685.0570000000002</v>
      </c>
      <c r="I337" s="42">
        <f>SUM(I338:I340)</f>
        <v>0</v>
      </c>
      <c r="J337" s="42">
        <f>SUM(J338:J340)</f>
        <v>2685.0570000000002</v>
      </c>
    </row>
    <row r="338" spans="1:10" ht="12" customHeight="1">
      <c r="A338" s="156"/>
      <c r="B338" s="67"/>
      <c r="C338" s="68"/>
      <c r="D338" s="56">
        <v>2212</v>
      </c>
      <c r="E338" s="91">
        <v>5169</v>
      </c>
      <c r="F338" s="101" t="s">
        <v>9</v>
      </c>
      <c r="G338" s="5">
        <v>0</v>
      </c>
      <c r="H338" s="5">
        <v>4.356</v>
      </c>
      <c r="I338" s="5"/>
      <c r="J338" s="5">
        <f>H338+I338</f>
        <v>4.356</v>
      </c>
    </row>
    <row r="339" spans="1:10" ht="12" customHeight="1">
      <c r="A339" s="156"/>
      <c r="B339" s="67"/>
      <c r="C339" s="100" t="s">
        <v>62</v>
      </c>
      <c r="D339" s="56">
        <v>2212</v>
      </c>
      <c r="E339" s="91">
        <v>5169</v>
      </c>
      <c r="F339" s="101" t="s">
        <v>9</v>
      </c>
      <c r="G339" s="5">
        <v>0</v>
      </c>
      <c r="H339" s="5">
        <f>24.684+53.845+35.332</f>
        <v>113.86099999999999</v>
      </c>
      <c r="I339" s="5"/>
      <c r="J339" s="143">
        <f>H339+I339</f>
        <v>113.86099999999999</v>
      </c>
    </row>
    <row r="340" spans="1:10" ht="12" customHeight="1" thickBot="1">
      <c r="A340" s="156"/>
      <c r="B340" s="95"/>
      <c r="C340" s="96" t="s">
        <v>62</v>
      </c>
      <c r="D340" s="55">
        <v>2212</v>
      </c>
      <c r="E340" s="97">
        <v>5171</v>
      </c>
      <c r="F340" s="98" t="s">
        <v>11</v>
      </c>
      <c r="G340" s="3">
        <v>0</v>
      </c>
      <c r="H340" s="14">
        <v>2566.84</v>
      </c>
      <c r="I340" s="2"/>
      <c r="J340" s="144">
        <f>H340+I340</f>
        <v>2566.84</v>
      </c>
    </row>
    <row r="341" spans="1:10" ht="12" customHeight="1">
      <c r="A341" s="156"/>
      <c r="B341" s="13" t="s">
        <v>2</v>
      </c>
      <c r="C341" s="59" t="s">
        <v>215</v>
      </c>
      <c r="D341" s="65" t="s">
        <v>0</v>
      </c>
      <c r="E341" s="65" t="s">
        <v>0</v>
      </c>
      <c r="F341" s="66" t="s">
        <v>216</v>
      </c>
      <c r="G341" s="42">
        <f>SUM(G342:G344)</f>
        <v>0</v>
      </c>
      <c r="H341" s="11">
        <f>SUM(H342:H344)</f>
        <v>1558.127</v>
      </c>
      <c r="I341" s="42">
        <f>SUM(I342:I344)</f>
        <v>0</v>
      </c>
      <c r="J341" s="42">
        <f>SUM(J342:J344)</f>
        <v>1558.127</v>
      </c>
    </row>
    <row r="342" spans="1:10" ht="12" customHeight="1">
      <c r="A342" s="156"/>
      <c r="B342" s="67"/>
      <c r="C342" s="68"/>
      <c r="D342" s="56">
        <v>2212</v>
      </c>
      <c r="E342" s="91">
        <v>5169</v>
      </c>
      <c r="F342" s="101" t="s">
        <v>9</v>
      </c>
      <c r="G342" s="5">
        <v>0</v>
      </c>
      <c r="H342" s="5">
        <v>4.356</v>
      </c>
      <c r="I342" s="5"/>
      <c r="J342" s="5">
        <f>H342+I342</f>
        <v>4.356</v>
      </c>
    </row>
    <row r="343" spans="1:10" ht="12" customHeight="1">
      <c r="A343" s="156"/>
      <c r="B343" s="67"/>
      <c r="C343" s="100" t="s">
        <v>62</v>
      </c>
      <c r="D343" s="56">
        <v>2212</v>
      </c>
      <c r="E343" s="91">
        <v>5169</v>
      </c>
      <c r="F343" s="101" t="s">
        <v>9</v>
      </c>
      <c r="G343" s="5">
        <v>0</v>
      </c>
      <c r="H343" s="5">
        <f>24.684+26.923+19.844</f>
        <v>71.451</v>
      </c>
      <c r="I343" s="5"/>
      <c r="J343" s="143">
        <f>H343+I343</f>
        <v>71.451</v>
      </c>
    </row>
    <row r="344" spans="1:10" ht="12" customHeight="1" thickBot="1">
      <c r="A344" s="156"/>
      <c r="B344" s="108"/>
      <c r="C344" s="109" t="s">
        <v>62</v>
      </c>
      <c r="D344" s="46">
        <v>2212</v>
      </c>
      <c r="E344" s="110">
        <v>5171</v>
      </c>
      <c r="F344" s="61" t="s">
        <v>11</v>
      </c>
      <c r="G344" s="2">
        <v>0</v>
      </c>
      <c r="H344" s="16">
        <v>1482.32</v>
      </c>
      <c r="I344" s="2"/>
      <c r="J344" s="140">
        <f>H344+I344</f>
        <v>1482.32</v>
      </c>
    </row>
    <row r="345" spans="1:10" ht="12" customHeight="1">
      <c r="A345" s="156"/>
      <c r="B345" s="13" t="s">
        <v>2</v>
      </c>
      <c r="C345" s="59" t="s">
        <v>217</v>
      </c>
      <c r="D345" s="65" t="s">
        <v>0</v>
      </c>
      <c r="E345" s="65" t="s">
        <v>0</v>
      </c>
      <c r="F345" s="66" t="s">
        <v>218</v>
      </c>
      <c r="G345" s="42">
        <f>SUM(G346:G348)</f>
        <v>0</v>
      </c>
      <c r="H345" s="11">
        <f>SUM(H346:H348)</f>
        <v>893.3169999999999</v>
      </c>
      <c r="I345" s="42">
        <f>SUM(I346:I348)</f>
        <v>0</v>
      </c>
      <c r="J345" s="42">
        <f>SUM(J346:J348)</f>
        <v>893.3169999999999</v>
      </c>
    </row>
    <row r="346" spans="1:10" ht="12" customHeight="1">
      <c r="A346" s="156"/>
      <c r="B346" s="67"/>
      <c r="C346" s="68"/>
      <c r="D346" s="56">
        <v>2212</v>
      </c>
      <c r="E346" s="91">
        <v>5169</v>
      </c>
      <c r="F346" s="101" t="s">
        <v>9</v>
      </c>
      <c r="G346" s="5">
        <v>0</v>
      </c>
      <c r="H346" s="5">
        <v>9.892</v>
      </c>
      <c r="I346" s="5"/>
      <c r="J346" s="5">
        <f>H346+I346</f>
        <v>9.892</v>
      </c>
    </row>
    <row r="347" spans="1:10" ht="12" customHeight="1">
      <c r="A347" s="156"/>
      <c r="B347" s="67"/>
      <c r="C347" s="100" t="s">
        <v>62</v>
      </c>
      <c r="D347" s="56">
        <v>2212</v>
      </c>
      <c r="E347" s="91">
        <v>5169</v>
      </c>
      <c r="F347" s="101" t="s">
        <v>9</v>
      </c>
      <c r="G347" s="5">
        <v>0</v>
      </c>
      <c r="H347" s="5">
        <f>56.053+24.2+10.285</f>
        <v>90.538</v>
      </c>
      <c r="I347" s="5"/>
      <c r="J347" s="143">
        <f>H347+I347</f>
        <v>90.538</v>
      </c>
    </row>
    <row r="348" spans="1:10" ht="12" customHeight="1" thickBot="1">
      <c r="A348" s="156"/>
      <c r="B348" s="95"/>
      <c r="C348" s="96" t="s">
        <v>62</v>
      </c>
      <c r="D348" s="55">
        <v>2212</v>
      </c>
      <c r="E348" s="97">
        <v>5171</v>
      </c>
      <c r="F348" s="98" t="s">
        <v>11</v>
      </c>
      <c r="G348" s="3">
        <v>0</v>
      </c>
      <c r="H348" s="2">
        <v>792.887</v>
      </c>
      <c r="I348" s="2"/>
      <c r="J348" s="144">
        <f>H348+I348</f>
        <v>792.887</v>
      </c>
    </row>
    <row r="349" spans="1:10" ht="12" customHeight="1">
      <c r="A349" s="156"/>
      <c r="B349" s="13" t="s">
        <v>2</v>
      </c>
      <c r="C349" s="59" t="s">
        <v>219</v>
      </c>
      <c r="D349" s="65" t="s">
        <v>0</v>
      </c>
      <c r="E349" s="65" t="s">
        <v>0</v>
      </c>
      <c r="F349" s="66" t="s">
        <v>220</v>
      </c>
      <c r="G349" s="42">
        <f>SUM(G350:G351)</f>
        <v>0</v>
      </c>
      <c r="H349" s="11">
        <f>SUM(H350:H351)</f>
        <v>71.995</v>
      </c>
      <c r="I349" s="42">
        <f>SUM(I350:I351)</f>
        <v>0</v>
      </c>
      <c r="J349" s="42">
        <f>SUM(J350:J351)</f>
        <v>71.995</v>
      </c>
    </row>
    <row r="350" spans="1:10" ht="12" customHeight="1">
      <c r="A350" s="156"/>
      <c r="B350" s="67"/>
      <c r="C350" s="68"/>
      <c r="D350" s="56">
        <v>2212</v>
      </c>
      <c r="E350" s="91">
        <v>5169</v>
      </c>
      <c r="F350" s="101" t="s">
        <v>9</v>
      </c>
      <c r="G350" s="5">
        <v>0</v>
      </c>
      <c r="H350" s="5">
        <v>10.7995</v>
      </c>
      <c r="I350" s="5"/>
      <c r="J350" s="5">
        <f>H350+I350</f>
        <v>10.7995</v>
      </c>
    </row>
    <row r="351" spans="1:10" ht="12" customHeight="1" thickBot="1">
      <c r="A351" s="156"/>
      <c r="B351" s="79"/>
      <c r="C351" s="109" t="s">
        <v>62</v>
      </c>
      <c r="D351" s="46">
        <v>2212</v>
      </c>
      <c r="E351" s="110">
        <v>5169</v>
      </c>
      <c r="F351" s="119" t="s">
        <v>9</v>
      </c>
      <c r="G351" s="2">
        <v>0</v>
      </c>
      <c r="H351" s="2">
        <v>61.1955</v>
      </c>
      <c r="I351" s="2"/>
      <c r="J351" s="140">
        <f>H351+I351</f>
        <v>61.1955</v>
      </c>
    </row>
    <row r="352" spans="1:10" ht="12" customHeight="1">
      <c r="A352" s="156"/>
      <c r="B352" s="13" t="s">
        <v>2</v>
      </c>
      <c r="C352" s="59" t="s">
        <v>221</v>
      </c>
      <c r="D352" s="65" t="s">
        <v>0</v>
      </c>
      <c r="E352" s="65" t="s">
        <v>0</v>
      </c>
      <c r="F352" s="66" t="s">
        <v>222</v>
      </c>
      <c r="G352" s="42">
        <f>SUM(G353:G355)</f>
        <v>0</v>
      </c>
      <c r="H352" s="11">
        <f>SUM(H353:H355)</f>
        <v>8587.447</v>
      </c>
      <c r="I352" s="42">
        <f>SUM(I353:I355)</f>
        <v>0</v>
      </c>
      <c r="J352" s="42">
        <f>SUM(J353:J355)</f>
        <v>8587.447</v>
      </c>
    </row>
    <row r="353" spans="1:10" ht="12" customHeight="1">
      <c r="A353" s="156"/>
      <c r="B353" s="67"/>
      <c r="C353" s="68"/>
      <c r="D353" s="56">
        <v>2212</v>
      </c>
      <c r="E353" s="91">
        <v>5169</v>
      </c>
      <c r="F353" s="101" t="s">
        <v>9</v>
      </c>
      <c r="G353" s="5">
        <v>0</v>
      </c>
      <c r="H353" s="5">
        <v>9.892</v>
      </c>
      <c r="I353" s="5"/>
      <c r="J353" s="5">
        <f>H353+I353</f>
        <v>9.892</v>
      </c>
    </row>
    <row r="354" spans="1:10" ht="12" customHeight="1">
      <c r="A354" s="156"/>
      <c r="B354" s="67"/>
      <c r="C354" s="100" t="s">
        <v>62</v>
      </c>
      <c r="D354" s="56">
        <v>2212</v>
      </c>
      <c r="E354" s="91">
        <v>5169</v>
      </c>
      <c r="F354" s="101" t="s">
        <v>9</v>
      </c>
      <c r="G354" s="5">
        <v>0</v>
      </c>
      <c r="H354" s="5">
        <f>56.053+49.61+33.856</f>
        <v>139.519</v>
      </c>
      <c r="I354" s="5"/>
      <c r="J354" s="143">
        <f>H354+I354</f>
        <v>139.519</v>
      </c>
    </row>
    <row r="355" spans="1:10" ht="12" customHeight="1" thickBot="1">
      <c r="A355" s="156"/>
      <c r="B355" s="95"/>
      <c r="C355" s="96" t="s">
        <v>62</v>
      </c>
      <c r="D355" s="46">
        <v>2212</v>
      </c>
      <c r="E355" s="110">
        <v>5171</v>
      </c>
      <c r="F355" s="61" t="s">
        <v>11</v>
      </c>
      <c r="G355" s="3">
        <v>0</v>
      </c>
      <c r="H355" s="2">
        <f>7448.471+989.565</f>
        <v>8438.036</v>
      </c>
      <c r="I355" s="5"/>
      <c r="J355" s="140">
        <f>H355+I355</f>
        <v>8438.036</v>
      </c>
    </row>
    <row r="356" spans="1:10" ht="12" customHeight="1">
      <c r="A356" s="156"/>
      <c r="B356" s="13" t="s">
        <v>2</v>
      </c>
      <c r="C356" s="59" t="s">
        <v>223</v>
      </c>
      <c r="D356" s="65" t="s">
        <v>0</v>
      </c>
      <c r="E356" s="65" t="s">
        <v>0</v>
      </c>
      <c r="F356" s="66" t="s">
        <v>224</v>
      </c>
      <c r="G356" s="42">
        <f>SUM(G357:G359)</f>
        <v>0</v>
      </c>
      <c r="H356" s="11">
        <f>SUM(H357:H359)</f>
        <v>1967.881</v>
      </c>
      <c r="I356" s="42">
        <f>SUM(I357:I359)</f>
        <v>0</v>
      </c>
      <c r="J356" s="42">
        <f>SUM(J357:J359)</f>
        <v>1967.881</v>
      </c>
    </row>
    <row r="357" spans="1:10" ht="12" customHeight="1">
      <c r="A357" s="156"/>
      <c r="B357" s="67"/>
      <c r="C357" s="68"/>
      <c r="D357" s="56">
        <v>2212</v>
      </c>
      <c r="E357" s="91">
        <v>5169</v>
      </c>
      <c r="F357" s="101" t="s">
        <v>9</v>
      </c>
      <c r="G357" s="5">
        <v>0</v>
      </c>
      <c r="H357" s="5">
        <v>9.892</v>
      </c>
      <c r="I357" s="5"/>
      <c r="J357" s="5">
        <f>H357+I357</f>
        <v>9.892</v>
      </c>
    </row>
    <row r="358" spans="1:10" ht="12" customHeight="1">
      <c r="A358" s="156"/>
      <c r="B358" s="67"/>
      <c r="C358" s="100" t="s">
        <v>62</v>
      </c>
      <c r="D358" s="56">
        <v>2212</v>
      </c>
      <c r="E358" s="91">
        <v>5169</v>
      </c>
      <c r="F358" s="101" t="s">
        <v>9</v>
      </c>
      <c r="G358" s="5">
        <v>0</v>
      </c>
      <c r="H358" s="5">
        <f>56.053+24.2+10.285</f>
        <v>90.538</v>
      </c>
      <c r="I358" s="5"/>
      <c r="J358" s="143">
        <f>H358+I358</f>
        <v>90.538</v>
      </c>
    </row>
    <row r="359" spans="1:10" ht="12" customHeight="1" thickBot="1">
      <c r="A359" s="156"/>
      <c r="B359" s="95"/>
      <c r="C359" s="96" t="s">
        <v>62</v>
      </c>
      <c r="D359" s="55">
        <v>2212</v>
      </c>
      <c r="E359" s="97">
        <v>5171</v>
      </c>
      <c r="F359" s="98" t="s">
        <v>11</v>
      </c>
      <c r="G359" s="3">
        <v>0</v>
      </c>
      <c r="H359" s="2">
        <v>1867.451</v>
      </c>
      <c r="I359" s="2"/>
      <c r="J359" s="144">
        <f>H359+I359</f>
        <v>1867.451</v>
      </c>
    </row>
    <row r="360" spans="1:10" ht="12" customHeight="1">
      <c r="A360" s="156"/>
      <c r="B360" s="13" t="s">
        <v>2</v>
      </c>
      <c r="C360" s="59" t="s">
        <v>225</v>
      </c>
      <c r="D360" s="65" t="s">
        <v>0</v>
      </c>
      <c r="E360" s="65" t="s">
        <v>0</v>
      </c>
      <c r="F360" s="66" t="s">
        <v>226</v>
      </c>
      <c r="G360" s="42">
        <f>SUM(G361:G363)</f>
        <v>0</v>
      </c>
      <c r="H360" s="11">
        <f>SUM(H361:H363)</f>
        <v>2009.527</v>
      </c>
      <c r="I360" s="42">
        <f>SUM(I361:I363)</f>
        <v>0</v>
      </c>
      <c r="J360" s="42">
        <f>SUM(J361:J363)</f>
        <v>2009.527</v>
      </c>
    </row>
    <row r="361" spans="1:10" ht="12" customHeight="1">
      <c r="A361" s="156"/>
      <c r="B361" s="67"/>
      <c r="C361" s="68"/>
      <c r="D361" s="56">
        <v>2212</v>
      </c>
      <c r="E361" s="91">
        <v>5169</v>
      </c>
      <c r="F361" s="101" t="s">
        <v>9</v>
      </c>
      <c r="G361" s="5">
        <v>0</v>
      </c>
      <c r="H361" s="5">
        <v>8.9845</v>
      </c>
      <c r="I361" s="5"/>
      <c r="J361" s="5">
        <f>H361+I361</f>
        <v>8.9845</v>
      </c>
    </row>
    <row r="362" spans="1:10" ht="12" customHeight="1">
      <c r="A362" s="156"/>
      <c r="B362" s="67"/>
      <c r="C362" s="100" t="s">
        <v>62</v>
      </c>
      <c r="D362" s="56">
        <v>2212</v>
      </c>
      <c r="E362" s="91">
        <v>5169</v>
      </c>
      <c r="F362" s="101" t="s">
        <v>9</v>
      </c>
      <c r="G362" s="5">
        <v>0</v>
      </c>
      <c r="H362" s="5">
        <f>50.9105+33.033+27.612</f>
        <v>111.5555</v>
      </c>
      <c r="I362" s="5"/>
      <c r="J362" s="143">
        <f>H362+I362</f>
        <v>111.5555</v>
      </c>
    </row>
    <row r="363" spans="1:10" ht="12" customHeight="1" thickBot="1">
      <c r="A363" s="156"/>
      <c r="B363" s="95"/>
      <c r="C363" s="96" t="s">
        <v>62</v>
      </c>
      <c r="D363" s="55">
        <v>2212</v>
      </c>
      <c r="E363" s="97">
        <v>5171</v>
      </c>
      <c r="F363" s="98" t="s">
        <v>11</v>
      </c>
      <c r="G363" s="3">
        <v>0</v>
      </c>
      <c r="H363" s="2">
        <v>1888.987</v>
      </c>
      <c r="I363" s="2"/>
      <c r="J363" s="144">
        <f>H363+I363</f>
        <v>1888.987</v>
      </c>
    </row>
    <row r="364" spans="1:10" ht="12" customHeight="1">
      <c r="A364" s="156"/>
      <c r="B364" s="13" t="s">
        <v>2</v>
      </c>
      <c r="C364" s="21" t="s">
        <v>227</v>
      </c>
      <c r="D364" s="65" t="s">
        <v>0</v>
      </c>
      <c r="E364" s="65" t="s">
        <v>0</v>
      </c>
      <c r="F364" s="66" t="s">
        <v>228</v>
      </c>
      <c r="G364" s="42">
        <f>SUM(G365:G366)</f>
        <v>0</v>
      </c>
      <c r="H364" s="11">
        <f>SUM(H365:H366)</f>
        <v>4373.151</v>
      </c>
      <c r="I364" s="42">
        <f>SUM(I365:I366)</f>
        <v>0</v>
      </c>
      <c r="J364" s="42">
        <f>SUM(J365:J366)</f>
        <v>4373.151</v>
      </c>
    </row>
    <row r="365" spans="1:10" ht="12" customHeight="1">
      <c r="A365" s="156"/>
      <c r="B365" s="67"/>
      <c r="C365" s="100" t="s">
        <v>62</v>
      </c>
      <c r="D365" s="56">
        <v>2212</v>
      </c>
      <c r="E365" s="91">
        <v>5169</v>
      </c>
      <c r="F365" s="101" t="s">
        <v>9</v>
      </c>
      <c r="G365" s="5">
        <v>0</v>
      </c>
      <c r="H365" s="14">
        <f>123.42+62.92</f>
        <v>186.34</v>
      </c>
      <c r="I365" s="5"/>
      <c r="J365" s="143">
        <f>H365+I365</f>
        <v>186.34</v>
      </c>
    </row>
    <row r="366" spans="1:10" ht="12" customHeight="1" thickBot="1">
      <c r="A366" s="156"/>
      <c r="B366" s="79"/>
      <c r="C366" s="118"/>
      <c r="D366" s="46">
        <v>2212</v>
      </c>
      <c r="E366" s="110">
        <v>5171</v>
      </c>
      <c r="F366" s="61" t="s">
        <v>11</v>
      </c>
      <c r="G366" s="2">
        <v>0</v>
      </c>
      <c r="H366" s="2">
        <f>4186.811*0.15-511.6785+0.00035+(4186.811*0.85+511.6785-0.00035)</f>
        <v>4186.811</v>
      </c>
      <c r="I366" s="2"/>
      <c r="J366" s="2">
        <f>H366+I366</f>
        <v>4186.811</v>
      </c>
    </row>
    <row r="367" spans="1:10" ht="12" customHeight="1">
      <c r="A367" s="156"/>
      <c r="B367" s="13" t="s">
        <v>2</v>
      </c>
      <c r="C367" s="21" t="s">
        <v>229</v>
      </c>
      <c r="D367" s="22" t="s">
        <v>0</v>
      </c>
      <c r="E367" s="22" t="s">
        <v>0</v>
      </c>
      <c r="F367" s="23" t="s">
        <v>230</v>
      </c>
      <c r="G367" s="42">
        <f>SUM(G368:G369)</f>
        <v>0</v>
      </c>
      <c r="H367" s="11">
        <f>SUM(H368:H369)</f>
        <v>1443.0649999999998</v>
      </c>
      <c r="I367" s="42">
        <f>SUM(I368:I369)</f>
        <v>0</v>
      </c>
      <c r="J367" s="42">
        <f>SUM(J368:J369)</f>
        <v>1443.0649999999998</v>
      </c>
    </row>
    <row r="368" spans="1:10" ht="12" customHeight="1">
      <c r="A368" s="156"/>
      <c r="B368" s="67"/>
      <c r="C368" s="122" t="s">
        <v>62</v>
      </c>
      <c r="D368" s="123">
        <v>2212</v>
      </c>
      <c r="E368" s="24">
        <v>5169</v>
      </c>
      <c r="F368" s="124" t="s">
        <v>9</v>
      </c>
      <c r="G368" s="5">
        <v>0</v>
      </c>
      <c r="H368" s="15">
        <f>34.243+20</f>
        <v>54.243</v>
      </c>
      <c r="I368" s="15"/>
      <c r="J368" s="143">
        <f>H368+I368</f>
        <v>54.243</v>
      </c>
    </row>
    <row r="369" spans="1:10" ht="12" customHeight="1" thickBot="1">
      <c r="A369" s="156"/>
      <c r="B369" s="79"/>
      <c r="C369" s="125" t="s">
        <v>62</v>
      </c>
      <c r="D369" s="126">
        <v>2212</v>
      </c>
      <c r="E369" s="127">
        <v>5171</v>
      </c>
      <c r="F369" s="128" t="s">
        <v>11</v>
      </c>
      <c r="G369" s="2">
        <v>0</v>
      </c>
      <c r="H369" s="17">
        <v>1388.822</v>
      </c>
      <c r="I369" s="17"/>
      <c r="J369" s="140">
        <f>H369+I369</f>
        <v>1388.822</v>
      </c>
    </row>
    <row r="370" spans="1:10" ht="12" customHeight="1" thickBot="1">
      <c r="A370" s="156"/>
      <c r="B370" s="129" t="s">
        <v>7</v>
      </c>
      <c r="C370" s="130" t="s">
        <v>0</v>
      </c>
      <c r="D370" s="18" t="s">
        <v>0</v>
      </c>
      <c r="E370" s="12" t="s">
        <v>0</v>
      </c>
      <c r="F370" s="19" t="s">
        <v>231</v>
      </c>
      <c r="G370" s="20">
        <f>G371</f>
        <v>0</v>
      </c>
      <c r="H370" s="20">
        <f>H371</f>
        <v>598.534</v>
      </c>
      <c r="I370" s="20">
        <f>I371</f>
        <v>0</v>
      </c>
      <c r="J370" s="20">
        <f>J371</f>
        <v>598.534</v>
      </c>
    </row>
    <row r="371" spans="1:10" ht="12.75">
      <c r="A371" s="156"/>
      <c r="B371" s="131" t="s">
        <v>7</v>
      </c>
      <c r="C371" s="21" t="s">
        <v>232</v>
      </c>
      <c r="D371" s="22" t="s">
        <v>0</v>
      </c>
      <c r="E371" s="22" t="s">
        <v>0</v>
      </c>
      <c r="F371" s="23" t="s">
        <v>233</v>
      </c>
      <c r="G371" s="11">
        <f>SUM(G372:G372)</f>
        <v>0</v>
      </c>
      <c r="H371" s="11">
        <f>SUM(H372:H372)</f>
        <v>598.534</v>
      </c>
      <c r="I371" s="11">
        <f>SUM(I372:I372)</f>
        <v>0</v>
      </c>
      <c r="J371" s="11">
        <f>SUM(J372:J372)</f>
        <v>598.534</v>
      </c>
    </row>
    <row r="372" spans="1:10" ht="13.5" thickBot="1">
      <c r="A372" s="157"/>
      <c r="B372" s="132"/>
      <c r="C372" s="125" t="s">
        <v>62</v>
      </c>
      <c r="D372" s="133">
        <v>2212</v>
      </c>
      <c r="E372" s="134">
        <v>5171</v>
      </c>
      <c r="F372" s="135" t="s">
        <v>11</v>
      </c>
      <c r="G372" s="17">
        <v>0</v>
      </c>
      <c r="H372" s="17">
        <v>598.534</v>
      </c>
      <c r="I372" s="17"/>
      <c r="J372" s="140">
        <f>H372+I372</f>
        <v>598.534</v>
      </c>
    </row>
  </sheetData>
  <sheetProtection/>
  <autoFilter ref="B7:J372"/>
  <mergeCells count="12">
    <mergeCell ref="D5:D6"/>
    <mergeCell ref="E5:E6"/>
    <mergeCell ref="A1:J1"/>
    <mergeCell ref="A3:J3"/>
    <mergeCell ref="I5:J5"/>
    <mergeCell ref="F5:F6"/>
    <mergeCell ref="G5:G6"/>
    <mergeCell ref="A8:A372"/>
    <mergeCell ref="H5:H6"/>
    <mergeCell ref="A5:A6"/>
    <mergeCell ref="B5:B6"/>
    <mergeCell ref="C5:C6"/>
  </mergeCells>
  <printOptions horizontalCentered="1"/>
  <pageMargins left="0.31496062992125984" right="0.31496062992125984" top="0.7874015748031497" bottom="0.7874015748031497" header="0.31496062992125984" footer="0.31496062992125984"/>
  <pageSetup horizontalDpi="600" verticalDpi="600" orientation="portrait" paperSize="9" scale="85" r:id="rId1"/>
  <headerFooter>
    <oddHeader>&amp;R&amp;F</oddHead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Vyhlidalova Dagmar</cp:lastModifiedBy>
  <cp:lastPrinted>2014-11-05T12:43:23Z</cp:lastPrinted>
  <dcterms:created xsi:type="dcterms:W3CDTF">2006-09-25T08:49:57Z</dcterms:created>
  <dcterms:modified xsi:type="dcterms:W3CDTF">2014-11-05T12:43:27Z</dcterms:modified>
  <cp:category/>
  <cp:version/>
  <cp:contentType/>
  <cp:contentStatus/>
</cp:coreProperties>
</file>