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2"/>
  </bookViews>
  <sheets>
    <sheet name="Bilance P+V" sheetId="1" r:id="rId1"/>
    <sheet name="příjmy OD" sheetId="2" r:id="rId2"/>
    <sheet name="92006" sheetId="3" r:id="rId3"/>
  </sheets>
  <definedNames>
    <definedName name="_xlnm.Print_Titles" localSheetId="2">'92006'!$5:$6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<sst xmlns="http://schemas.openxmlformats.org/spreadsheetml/2006/main" count="1314" uniqueCount="385">
  <si>
    <t>Úprava</t>
  </si>
  <si>
    <t>Pol.</t>
  </si>
  <si>
    <t>x</t>
  </si>
  <si>
    <t>uk.</t>
  </si>
  <si>
    <t>SU</t>
  </si>
  <si>
    <t>č.a.</t>
  </si>
  <si>
    <t>§</t>
  </si>
  <si>
    <t>pol.</t>
  </si>
  <si>
    <t>1. daňové příjmy</t>
  </si>
  <si>
    <t>1xxx</t>
  </si>
  <si>
    <t>2. nedaňové příjmy</t>
  </si>
  <si>
    <t>2xxx</t>
  </si>
  <si>
    <t>3xxx</t>
  </si>
  <si>
    <t>4xxx</t>
  </si>
  <si>
    <t>411x</t>
  </si>
  <si>
    <t>4112</t>
  </si>
  <si>
    <t>421x</t>
  </si>
  <si>
    <t>C/ F i n a n c o v á n í</t>
  </si>
  <si>
    <t>8xxx</t>
  </si>
  <si>
    <t>8115</t>
  </si>
  <si>
    <t xml:space="preserve">Z d r o j e  L K   c e l k e m </t>
  </si>
  <si>
    <t>změna</t>
  </si>
  <si>
    <t>DU</t>
  </si>
  <si>
    <t>1-3xxx</t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</si>
  <si>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</si>
  <si>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</si>
  <si>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</si>
  <si>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</si>
  <si>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</si>
  <si>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</si>
  <si>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</si>
  <si>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</si>
  <si>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</si>
  <si>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</si>
  <si>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</si>
  <si>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</si>
  <si>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</si>
  <si>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</si>
  <si>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</si>
  <si>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</si>
  <si>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</si>
  <si>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</si>
  <si>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</si>
  <si>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</si>
  <si>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</si>
  <si>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</si>
  <si>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</si>
  <si>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</si>
  <si>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</si>
  <si>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resortní úč.neinv.dot.</t>
  </si>
  <si>
    <t xml:space="preserve">   neinv. dotace od obcí</t>
  </si>
  <si>
    <t>4. úvěr</t>
  </si>
  <si>
    <t>81xx</t>
  </si>
  <si>
    <t>správce rozpočtových výdajů = odbor dopravy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</si>
  <si>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</si>
  <si>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</si>
  <si>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</si>
  <si>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</si>
  <si>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tis.Kč</t>
  </si>
  <si>
    <t>ÚZ</t>
  </si>
  <si>
    <t>nákup ostatních služeb</t>
  </si>
  <si>
    <t>ROP - II/270 Mimoň-humanizace průtahu a OK Tyršovo náměstí</t>
  </si>
  <si>
    <t>Kap.926-dotační fond</t>
  </si>
  <si>
    <t>Přijaté transfery (dotace a příspěvky) a zdroje (financování)</t>
  </si>
  <si>
    <t>ORJ</t>
  </si>
  <si>
    <t>příjmy celkem</t>
  </si>
  <si>
    <t>A1) vlastní příjmy - daňové příjmy</t>
  </si>
  <si>
    <t>0006</t>
  </si>
  <si>
    <t>správní poplatky</t>
  </si>
  <si>
    <t>A2) vlastní příjmy - nedaňové příjmy</t>
  </si>
  <si>
    <t>věcná břemena</t>
  </si>
  <si>
    <t>ostatní přijaté vratky transferů</t>
  </si>
  <si>
    <t>přijaté nekapitálové příspěvky a náhrady</t>
  </si>
  <si>
    <t>vratky z autobusové dopravní obslužnosti</t>
  </si>
  <si>
    <t>vratky z drážní dopravní obslužnosti</t>
  </si>
  <si>
    <t>2306</t>
  </si>
  <si>
    <t>splátky půjčených prostředků od příspěvkových organizací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</si>
  <si>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</si>
  <si>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</si>
  <si>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</si>
  <si>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</si>
  <si>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</si>
  <si>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</si>
  <si>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</si>
  <si>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</si>
  <si>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Příspěvek na ztrátu dopravce z provozu veřejné osobní drážní dopravy</t>
  </si>
  <si>
    <t>27355</t>
  </si>
  <si>
    <t>ostatní neinvestiční přijaté transfery ze státního rozpočtu</t>
  </si>
  <si>
    <t>neinvestiční transfery přijaté od obcí</t>
  </si>
  <si>
    <t>38585005</t>
  </si>
  <si>
    <t>neinvestiční přijaté transfery od regionálních rad</t>
  </si>
  <si>
    <t>42xx</t>
  </si>
  <si>
    <t>B2) Dotace a příspěvky - investiční</t>
  </si>
  <si>
    <t>Povodně - Obnova majetku po povodních - INV transfer MMR</t>
  </si>
  <si>
    <t>17789</t>
  </si>
  <si>
    <t>ostatní investiční přijaté transfery ze státního rozpočtu</t>
  </si>
  <si>
    <t>0650544007</t>
  </si>
  <si>
    <t xml:space="preserve">investiční dotace od obcí </t>
  </si>
  <si>
    <t>Opravy silnic II. a III. třídy – Liberecký kraj</t>
  </si>
  <si>
    <t>SR 2014</t>
  </si>
  <si>
    <t>UR I 2014</t>
  </si>
  <si>
    <t>UR II 2014</t>
  </si>
  <si>
    <t>Příjmy a finanční zdroje odboru dopravy 2014</t>
  </si>
  <si>
    <t>P Ř Í J M Y   A  T R A N S F E R Y   2 0 1 4</t>
  </si>
  <si>
    <t>příjmy z licencí pro kamionovou dopravu</t>
  </si>
  <si>
    <t>0650030000</t>
  </si>
  <si>
    <t xml:space="preserve">ROP - III/592 Chrastava-přeložka z centra </t>
  </si>
  <si>
    <t>sankční platby přijaté od státu, obcí a krajů</t>
  </si>
  <si>
    <t>sankční platby přijaté od jiných subjektů</t>
  </si>
  <si>
    <t>1306</t>
  </si>
  <si>
    <t>0689981601</t>
  </si>
  <si>
    <t>KSS LK - realizace příkazní smlouvy Silnice LK a.s. na období 05-12/2013</t>
  </si>
  <si>
    <t>0650361601</t>
  </si>
  <si>
    <t>Cíl 3 - III/27014 Krompach - Jonsdorf, I.etapa</t>
  </si>
  <si>
    <t>0650450000</t>
  </si>
  <si>
    <t>ROP - III/2921, 2922 vč. 2 mostů, Pelechov - Záhoří - Semily</t>
  </si>
  <si>
    <r>
      <t>Cíl 3 - III/27014 Krompach - Jonsdorf, I.etapa</t>
    </r>
  </si>
  <si>
    <t>41117883</t>
  </si>
  <si>
    <t>1. Zapojení fondů z r. 2013</t>
  </si>
  <si>
    <t>Kap.917-transfery</t>
  </si>
  <si>
    <t>0682290000</t>
  </si>
  <si>
    <t>údržba silnic II. a III. tříd - úklid komunikací po povodni</t>
  </si>
  <si>
    <t>49595029</t>
  </si>
  <si>
    <t>neinvestiční převody z Národního fondu</t>
  </si>
  <si>
    <t>0682300000</t>
  </si>
  <si>
    <t>oprava propustku v Jílovém u Držkova</t>
  </si>
  <si>
    <t>0682310000</t>
  </si>
  <si>
    <t>III/2931 Nedaříž – havárie propustku</t>
  </si>
  <si>
    <t>náklady řízení</t>
  </si>
  <si>
    <t>sankční platby přijaté od státu, obcí a krajů - ostatní</t>
  </si>
  <si>
    <t>příjmy za zkoušky z odborné způsobilosti - řidičské oprávnění</t>
  </si>
  <si>
    <t>vratka přeplatku elektické energie na DDH Liberec</t>
  </si>
  <si>
    <t>přijaté neinvestiční dary</t>
  </si>
  <si>
    <t>přijaté pojistné náhrady</t>
  </si>
  <si>
    <t>příspěvek na dopravní obslužnost od obchodních společností</t>
  </si>
  <si>
    <t>ostatní nedaňové příjmy</t>
  </si>
  <si>
    <t>0000005107</t>
  </si>
  <si>
    <t>ost. neinvestiční přijaté transfery od rozpočtů územní úrovně</t>
  </si>
  <si>
    <t>budovy, haly a stavby</t>
  </si>
  <si>
    <t>nespecifikované rezervy</t>
  </si>
  <si>
    <t>investiční transfery zřízeným příspěvkovým organizacím</t>
  </si>
  <si>
    <t>ZDROJOVÁ A VÝDAJOVÁ ČÁST ROZPOČTU LK 2014</t>
  </si>
  <si>
    <t>A/ Vlastní příjmy</t>
  </si>
  <si>
    <t>3. kapitálové příjmy</t>
  </si>
  <si>
    <t>B/ Dotace a příspěvky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</si>
  <si>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dotace</t>
    </r>
  </si>
  <si>
    <t xml:space="preserve">    resort.účel. inv. dotace</t>
  </si>
  <si>
    <t xml:space="preserve">   zákon o st. rozpočtu</t>
  </si>
  <si>
    <t>P ř í j m y   c e l k e m</t>
  </si>
  <si>
    <t>2. Zapojení zvl. účtů z r. 2013</t>
  </si>
  <si>
    <t>3. Zapojení výsledku hosp.2013</t>
  </si>
  <si>
    <t>5. uhrazené splátky krátkod.půjček</t>
  </si>
  <si>
    <t>Ukazatel   (tis. Kč)</t>
  </si>
  <si>
    <t>Rozpis výdajů kapitoly 920</t>
  </si>
  <si>
    <t>92006 - Kapitálové výdaje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</si>
  <si>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</si>
  <si>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</si>
  <si>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</si>
  <si>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</si>
  <si>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</si>
  <si>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</si>
  <si>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</si>
  <si>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0681150000</t>
  </si>
  <si>
    <t>0681760000</t>
  </si>
  <si>
    <t>Most přes Valteřický potok ve Valteřicích ev.č. 2634-1</t>
  </si>
  <si>
    <t>0690600000</t>
  </si>
  <si>
    <t>PD - osazení 2 ks meteohlásek na silnicích II. třídy</t>
  </si>
  <si>
    <t>ostatní nákup dlouhodobého hmotného majetku</t>
  </si>
  <si>
    <t>0690610000</t>
  </si>
  <si>
    <t>Rekonstrukce silnice III/2887 Bozkov</t>
  </si>
  <si>
    <t>0690620000</t>
  </si>
  <si>
    <t>silnice II/290 Frýdlant - Bílý Potok (I.etapa) - povodně</t>
  </si>
  <si>
    <t>(UZ 17789)</t>
  </si>
  <si>
    <t>stavba nebo rekonstrukce silnice</t>
  </si>
  <si>
    <t>0690630000</t>
  </si>
  <si>
    <t>silnice II/592 Chrastava (I.etapa) - povodně</t>
  </si>
  <si>
    <t>0690640000</t>
  </si>
  <si>
    <t>silnice III/03513 a III/03515 Heřmanice - Dětřichov - povodně</t>
  </si>
  <si>
    <t>0690650000</t>
  </si>
  <si>
    <t>silnice III/0353 a III/0357 Víska - Višňová - Poustka - povodně</t>
  </si>
  <si>
    <t>0690660000</t>
  </si>
  <si>
    <t>Studie proveditelnosti železničního spojení Praha – Mladá Boleslav – Liberec</t>
  </si>
  <si>
    <t>0690690000</t>
  </si>
  <si>
    <t>Modernizace silnice Horka u Staré Paky – Dolní Branná</t>
  </si>
  <si>
    <t>ZJ 035</t>
  </si>
  <si>
    <t>investiční transfery krajům</t>
  </si>
  <si>
    <t>0690700000</t>
  </si>
  <si>
    <t>II/290 rekonstrukce opěrné zdi v km 12,5 - 12,6 a mostu 290-011 - povodně</t>
  </si>
  <si>
    <t>0690710000</t>
  </si>
  <si>
    <t>silnice II/290 Frýdlant - Bílý Potok (II. etapa) - povodně</t>
  </si>
  <si>
    <t>0690720000</t>
  </si>
  <si>
    <t>silnice II/592 Chrastava (II. etapa) - povodně</t>
  </si>
  <si>
    <t>0690730000</t>
  </si>
  <si>
    <t>silnice III/27252 Vítkov - povodně</t>
  </si>
  <si>
    <t>0690741601</t>
  </si>
  <si>
    <t>KSS LK - projektová dokumentace - povodňové škody 2013</t>
  </si>
  <si>
    <t>neinvestiční transfery zřízeným příspěvkovým organizacím</t>
  </si>
  <si>
    <t>Povodně 2013 - SFDI</t>
  </si>
  <si>
    <t>0682280000</t>
  </si>
  <si>
    <t>opravy silnic II. a III. tříd včetně opěrných zdí</t>
  </si>
  <si>
    <t>(ÚZ 91252)</t>
  </si>
  <si>
    <t>0682320000</t>
  </si>
  <si>
    <t>III/03513 – Dětřichov, havárie silničního tělesa</t>
  </si>
  <si>
    <t>opravy a udržování</t>
  </si>
  <si>
    <t>0682330000</t>
  </si>
  <si>
    <t>II/283 - Bělá u Turnova, oprava nábřežní zdi</t>
  </si>
  <si>
    <t>0682340000</t>
  </si>
  <si>
    <t>III/26839 Kunratice u Cvikova, havárie opěrné zdi</t>
  </si>
  <si>
    <t>0682350000</t>
  </si>
  <si>
    <t>III/26841 Cvikov, havárie opěrné zdi</t>
  </si>
  <si>
    <t>0682360000</t>
  </si>
  <si>
    <t>III/26836 Lindava, havárie opěrné zdi</t>
  </si>
  <si>
    <t>0682370000</t>
  </si>
  <si>
    <t>III/26314 Prysk, havárie opěrné zdi</t>
  </si>
  <si>
    <t>0682380000</t>
  </si>
  <si>
    <t>III/2708 Velký Grunov, havárie opěrné zdi</t>
  </si>
  <si>
    <t>0682390000</t>
  </si>
  <si>
    <t>III/2627 Volfartice, havárie opěrné zdi a propustku</t>
  </si>
  <si>
    <t>0682400000</t>
  </si>
  <si>
    <t>III/2628 Skalice u České Lípy, havárie opěrné zdi</t>
  </si>
  <si>
    <t>0682410000</t>
  </si>
  <si>
    <t>III/2911 Krásný Les, havárie opěrné zdi</t>
  </si>
  <si>
    <t>0682420000</t>
  </si>
  <si>
    <t>II/290 Smědava, havárie opěrné zdi</t>
  </si>
  <si>
    <t>0682430000</t>
  </si>
  <si>
    <t>III/2911 Dolní Řasnice, havárie opěrné zdi</t>
  </si>
  <si>
    <t>0682440000</t>
  </si>
  <si>
    <t>III/2918 Horní Řasnice, havárie opěrné zdi</t>
  </si>
  <si>
    <t>0682450000</t>
  </si>
  <si>
    <t>III/2918 Srbská, havárie opěrné zdi</t>
  </si>
  <si>
    <t>0682460000</t>
  </si>
  <si>
    <t>III/2914 Bulovka, havárie opěrné zdi</t>
  </si>
  <si>
    <t>0682470000</t>
  </si>
  <si>
    <t>III/0357 Pertoltice, havárie opěrné zdi</t>
  </si>
  <si>
    <t>0682480000</t>
  </si>
  <si>
    <t>II/290 Smědava, havárie silnice</t>
  </si>
  <si>
    <t>0682490000</t>
  </si>
  <si>
    <t>II/291 Nové Město pod Smrkem, havárie silnice</t>
  </si>
  <si>
    <t>0682500000</t>
  </si>
  <si>
    <t>III/0353 Černousy, havárie propustku</t>
  </si>
  <si>
    <t>0682510000</t>
  </si>
  <si>
    <t>III/0357 Předlánce, havárie propustku</t>
  </si>
  <si>
    <t>0682520000</t>
  </si>
  <si>
    <t>III/0357 Pertoltice, havárie silnice</t>
  </si>
  <si>
    <t>0682530000</t>
  </si>
  <si>
    <t>III/0357 Pertoltice, havárie propustku</t>
  </si>
  <si>
    <t>0682540000</t>
  </si>
  <si>
    <t>III/03514 Kunratice, havárie silnice</t>
  </si>
  <si>
    <t>0682550000</t>
  </si>
  <si>
    <t>III/29011 Ludvíkov pod Smrkem, havárie propustku</t>
  </si>
  <si>
    <t>0682560000</t>
  </si>
  <si>
    <t>III/2903 Raspenava, havárie silnice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</si>
  <si>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</si>
  <si>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</si>
  <si>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</si>
  <si>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</si>
  <si>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</si>
  <si>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</si>
  <si>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</si>
  <si>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</si>
  <si>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</si>
  <si>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</si>
  <si>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0682620000</t>
  </si>
  <si>
    <t>III/2904 Oldřichov v Hájích, havárie silnice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</si>
  <si>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</si>
  <si>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</si>
  <si>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</si>
  <si>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</si>
  <si>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</si>
  <si>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</si>
  <si>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</si>
  <si>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</si>
  <si>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0682670000</t>
  </si>
  <si>
    <t>III/26318 Polevsko, havárie propustku</t>
  </si>
  <si>
    <t>0682680000</t>
  </si>
  <si>
    <t>III/2627 Horní Libchava, havárie propustku</t>
  </si>
  <si>
    <t>0682690000</t>
  </si>
  <si>
    <t>592-008 Kryštofovo Údolí, havárie mostu</t>
  </si>
  <si>
    <t>0682700000</t>
  </si>
  <si>
    <t>592-010 Kryštofovo Údolí, havárie mostu</t>
  </si>
  <si>
    <t>0682710000</t>
  </si>
  <si>
    <t>27241-1 Křižany, havárie mostu</t>
  </si>
  <si>
    <t>0682720000</t>
  </si>
  <si>
    <t>2713-5 Chotyně, havárie mostu</t>
  </si>
  <si>
    <t>0682730000</t>
  </si>
  <si>
    <t>III/27241 Křižany, havárie opěrné zdi, p.k. 76</t>
  </si>
  <si>
    <t>0682740000</t>
  </si>
  <si>
    <t>III/27241 Křižany, havárie opěrné zdi, p.k. 77</t>
  </si>
  <si>
    <t>0682750000</t>
  </si>
  <si>
    <t>III/27241 Křižany, havárie opěrné zdi, p.k. 78</t>
  </si>
  <si>
    <t>0682760000</t>
  </si>
  <si>
    <t>III/27243 Zdislava, havárie opěrné zdi</t>
  </si>
  <si>
    <t>0682770000</t>
  </si>
  <si>
    <t>II/592 Kryštofovo Údolí, havárie opěrné zdi, p.k. 58</t>
  </si>
  <si>
    <t>0682780000</t>
  </si>
  <si>
    <t>II/592 Kryštofovo Údolí, havárie opěrné zdi, p.k. 61</t>
  </si>
  <si>
    <t>0682790000</t>
  </si>
  <si>
    <t>III/2711 Chotyně, havárie opěrné zdi</t>
  </si>
  <si>
    <t>0682800000</t>
  </si>
  <si>
    <t>III/2711 Bílý Kostel, havárie propustku</t>
  </si>
  <si>
    <t>0682810000</t>
  </si>
  <si>
    <t>III/27247 Machnín, havárie opěrné zdi</t>
  </si>
  <si>
    <t>0682820000</t>
  </si>
  <si>
    <t>III/27716 Kněžičky, havárie opěrné zdi, p.k. 63</t>
  </si>
  <si>
    <t>0682830000</t>
  </si>
  <si>
    <t>III/27716 Kněžičky, havárie opěrné zdi, p.k. 64</t>
  </si>
  <si>
    <t>0682840000</t>
  </si>
  <si>
    <t>III/27251 Chrastava, havárie opěrné zdi</t>
  </si>
  <si>
    <t>0682850000</t>
  </si>
  <si>
    <t>294-001 Vítkovice, havárie mostu</t>
  </si>
  <si>
    <t>0682860000</t>
  </si>
  <si>
    <t>29056-2 Paseky nad Jizerou, havárie mostu</t>
  </si>
  <si>
    <t>0682870000</t>
  </si>
  <si>
    <t>2951-6 Zálesní Lhota, havárie mostu</t>
  </si>
  <si>
    <t>0682880000</t>
  </si>
  <si>
    <t>II/286 Dolní Štěpanice, havárie opěrné zdi</t>
  </si>
  <si>
    <t>0682890000</t>
  </si>
  <si>
    <t>II/290 Roprachtice, havárie opěrné zdi</t>
  </si>
  <si>
    <t>0682900000</t>
  </si>
  <si>
    <t>III/27244 Rynoltice, havárie propustku</t>
  </si>
  <si>
    <t>0682910000</t>
  </si>
  <si>
    <t>III/2905 Mníšek, havárie propustku</t>
  </si>
  <si>
    <t>0682920000</t>
  </si>
  <si>
    <t>III/2907 Fojtka, havárie silnice</t>
  </si>
  <si>
    <t>0682930000</t>
  </si>
  <si>
    <t>III/27243 Jitrava, havárie propustku</t>
  </si>
  <si>
    <t>0682940000</t>
  </si>
  <si>
    <t>II/592 Křižany, havárie silnice</t>
  </si>
  <si>
    <t>0682950000</t>
  </si>
  <si>
    <t>III/27241 Žibřidice, havárie silnice</t>
  </si>
  <si>
    <t>0682960000</t>
  </si>
  <si>
    <t>III/29020 Liberec, havárie propustku a silnice</t>
  </si>
  <si>
    <t>0682970000</t>
  </si>
  <si>
    <t>III/27253 Nová Ves, havárie silnice</t>
  </si>
  <si>
    <t>0682980000</t>
  </si>
  <si>
    <t>III/2907 Fojtka, havárie propustku</t>
  </si>
  <si>
    <t>0682990000</t>
  </si>
  <si>
    <t>III/2784 Ještěd, havárie silnice (065a + 065b)</t>
  </si>
  <si>
    <t>0683000000</t>
  </si>
  <si>
    <t>III/2784 Ještěd, havárie propustku, p.k. 66</t>
  </si>
  <si>
    <t>0683010000</t>
  </si>
  <si>
    <t>III/2784 Ještěd, havárie propustku, p.k. 67</t>
  </si>
  <si>
    <t>0683020000</t>
  </si>
  <si>
    <t>III/27240 Druzcov, havárie propustku</t>
  </si>
  <si>
    <t>0683030000</t>
  </si>
  <si>
    <t>III/2711 Chotyně, havárie propustku</t>
  </si>
  <si>
    <t>0683040000</t>
  </si>
  <si>
    <t>III/29020 Liberec, havárie propustku</t>
  </si>
  <si>
    <t>0683050000</t>
  </si>
  <si>
    <t>III/29020 Liberec, havárie silnice</t>
  </si>
  <si>
    <t>0683060000</t>
  </si>
  <si>
    <t>III/2711 Chotyně, havárie silnice</t>
  </si>
  <si>
    <t>0683070000</t>
  </si>
  <si>
    <t>III/01326 Krásná Studánka, havárie propustku</t>
  </si>
  <si>
    <t>0683080000</t>
  </si>
  <si>
    <t>III/27247 Machnín, havárie silnice</t>
  </si>
  <si>
    <t>0683090000</t>
  </si>
  <si>
    <t>III/2931 Levínská Olešnice, havárie silnice</t>
  </si>
  <si>
    <t>0683100000</t>
  </si>
  <si>
    <t>III/28312 Tample, havárie propustku a silnice</t>
  </si>
  <si>
    <t>0683110000</t>
  </si>
  <si>
    <t>II/286 Vítkovice, Mísečky, havárie silnice</t>
  </si>
  <si>
    <t>0683120000</t>
  </si>
  <si>
    <t>III/28411 Roztoky u Jilemnice, havárie silnice</t>
  </si>
  <si>
    <t>0683130000</t>
  </si>
  <si>
    <t>II/288 Bozkov, havárie propustku</t>
  </si>
  <si>
    <t>0683310000</t>
  </si>
  <si>
    <t>III/26834 Velký Grunov, havárie nábřežní zdi</t>
  </si>
  <si>
    <t>0683320000</t>
  </si>
  <si>
    <t>III/29021 Liberec, ul. Horská, havárie opěrné zdi</t>
  </si>
  <si>
    <t>Opravy silnic II. a III. třídy - Liberecký kraj</t>
  </si>
  <si>
    <t>0683300000</t>
  </si>
  <si>
    <t>III/29020 propustek ul. Jizerská, Liberec</t>
  </si>
  <si>
    <t>Oprava 9 mostů, Bílý Potok, Kunratice, Raspenava, Dětřichov, Bulovka a Dolní Pertoltice</t>
  </si>
  <si>
    <t>0690751601</t>
  </si>
  <si>
    <t>KSS LK - projektová dokumentace – opravy mostů v havarijním stavu</t>
  </si>
  <si>
    <t>0690681601</t>
  </si>
  <si>
    <t>přeložka ČEZ na akci „Rekonstrukce mostu Jablonec nad Nisou, nám. B. Němcové III/28733-1“</t>
  </si>
  <si>
    <t>2006</t>
  </si>
  <si>
    <t>25.změna-RO č. 319/14</t>
  </si>
  <si>
    <t>0690761601</t>
  </si>
  <si>
    <t>příprava a projektové dokumentace pro ROP 4</t>
  </si>
  <si>
    <t>ROP - III/29023 Tanvald - ul. Nemocniční a Pod Špičákem</t>
  </si>
  <si>
    <t>0690671601</t>
  </si>
  <si>
    <t>příprava a projektové dokumentace havarijních objektů a úseků silnic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</si>
</sst>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64">
    <xf numFmtId="0" fontId="0" fillId="0" borderId="0" xfId="0" applyAlignment="1">
      <alignment/>
    </xf>
    <xf numFmtId="0" fontId="4" fillId="0" borderId="10" xfId="51" applyFont="1" applyFill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0" fontId="32" fillId="0" borderId="17" xfId="48" applyFont="1" applyBorder="1" applyAlignment="1">
      <alignment vertical="center" wrapText="1"/>
      <protection/>
    </xf>
    <xf numFmtId="49" fontId="6" fillId="0" borderId="18" xfId="51" applyNumberFormat="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4" fontId="6" fillId="0" borderId="19" xfId="51" applyNumberFormat="1" applyFont="1" applyFill="1" applyBorder="1" applyAlignment="1">
      <alignment vertical="center"/>
      <protection/>
    </xf>
    <xf numFmtId="49" fontId="1" fillId="0" borderId="20" xfId="51" applyNumberFormat="1" applyFont="1" applyFill="1" applyBorder="1" applyAlignment="1">
      <alignment horizontal="center" vertical="center"/>
      <protection/>
    </xf>
    <xf numFmtId="0" fontId="1" fillId="0" borderId="20" xfId="5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4" fontId="1" fillId="0" borderId="22" xfId="51" applyNumberFormat="1" applyFont="1" applyFill="1" applyBorder="1" applyAlignment="1">
      <alignment vertical="center"/>
      <protection/>
    </xf>
    <xf numFmtId="4" fontId="1" fillId="0" borderId="23" xfId="51" applyNumberFormat="1" applyFont="1" applyFill="1" applyBorder="1" applyAlignment="1">
      <alignment vertical="center"/>
      <protection/>
    </xf>
    <xf numFmtId="0" fontId="1" fillId="0" borderId="24" xfId="51" applyFont="1" applyFill="1" applyBorder="1" applyAlignment="1">
      <alignment horizontal="center" vertical="center"/>
      <protection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28" xfId="51" applyNumberFormat="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4" fillId="0" borderId="30" xfId="51" applyNumberFormat="1" applyFont="1" applyFill="1" applyBorder="1" applyAlignment="1">
      <alignment horizontal="center" vertical="center"/>
      <protection/>
    </xf>
    <xf numFmtId="0" fontId="4" fillId="0" borderId="31" xfId="51" applyFont="1" applyFill="1" applyBorder="1" applyAlignment="1">
      <alignment horizontal="center"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8" xfId="51" applyNumberFormat="1" applyFont="1" applyFill="1" applyBorder="1" applyAlignment="1">
      <alignment horizontal="center" vertical="center"/>
      <protection/>
    </xf>
    <xf numFmtId="0" fontId="4" fillId="24" borderId="29" xfId="51" applyFont="1" applyFill="1" applyBorder="1" applyAlignment="1">
      <alignment horizontal="center" vertical="center"/>
      <protection/>
    </xf>
    <xf numFmtId="49" fontId="4" fillId="24" borderId="10" xfId="51" applyNumberFormat="1" applyFont="1" applyFill="1" applyBorder="1" applyAlignment="1">
      <alignment horizontal="center" vertical="center"/>
      <protection/>
    </xf>
    <xf numFmtId="0" fontId="4" fillId="24" borderId="10" xfId="51" applyFont="1" applyFill="1" applyBorder="1" applyAlignment="1">
      <alignment horizontal="center" vertical="center"/>
      <protection/>
    </xf>
    <xf numFmtId="49" fontId="4" fillId="24" borderId="30" xfId="51" applyNumberFormat="1" applyFont="1" applyFill="1" applyBorder="1" applyAlignment="1">
      <alignment horizontal="center" vertical="center"/>
      <protection/>
    </xf>
    <xf numFmtId="0" fontId="4" fillId="24" borderId="31" xfId="51" applyFont="1" applyFill="1" applyBorder="1" applyAlignment="1">
      <alignment horizontal="left" vertical="center"/>
      <protection/>
    </xf>
    <xf numFmtId="4" fontId="4" fillId="24" borderId="12" xfId="51" applyNumberFormat="1" applyFont="1" applyFill="1" applyBorder="1" applyAlignment="1">
      <alignment vertical="center"/>
      <protection/>
    </xf>
    <xf numFmtId="4" fontId="4" fillId="24" borderId="32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33" xfId="51" applyNumberFormat="1" applyFont="1" applyFill="1" applyBorder="1" applyAlignment="1">
      <alignment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24" xfId="49" applyFont="1" applyBorder="1" applyAlignment="1">
      <alignment horizontal="center"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0" fillId="0" borderId="24" xfId="51" applyFont="1" applyFill="1" applyBorder="1" applyAlignment="1">
      <alignment vertical="center"/>
      <protection/>
    </xf>
    <xf numFmtId="0" fontId="1" fillId="0" borderId="38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4" xfId="49" applyNumberFormat="1" applyFont="1" applyBorder="1" applyAlignment="1">
      <alignment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" fillId="0" borderId="40" xfId="51" applyFont="1" applyFill="1" applyBorder="1" applyAlignment="1">
      <alignment horizontal="center" vertical="center"/>
      <protection/>
    </xf>
    <xf numFmtId="0" fontId="1" fillId="0" borderId="40" xfId="49" applyFont="1" applyBorder="1" applyAlignment="1">
      <alignment horizontal="center" vertical="center"/>
      <protection/>
    </xf>
    <xf numFmtId="0" fontId="0" fillId="0" borderId="40" xfId="51" applyFont="1" applyFill="1" applyBorder="1" applyAlignment="1">
      <alignment vertical="center"/>
      <protection/>
    </xf>
    <xf numFmtId="0" fontId="1" fillId="0" borderId="40" xfId="49" applyFont="1" applyBorder="1" applyAlignment="1">
      <alignment vertical="center"/>
      <protection/>
    </xf>
    <xf numFmtId="4" fontId="1" fillId="0" borderId="19" xfId="49" applyNumberFormat="1" applyFont="1" applyBorder="1" applyAlignment="1">
      <alignment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0" fontId="1" fillId="0" borderId="41" xfId="49" applyFont="1" applyBorder="1" applyAlignment="1">
      <alignment horizontal="center" vertical="center"/>
      <protection/>
    </xf>
    <xf numFmtId="0" fontId="0" fillId="0" borderId="41" xfId="51" applyFont="1" applyFill="1" applyBorder="1" applyAlignment="1">
      <alignment vertical="center"/>
      <protection/>
    </xf>
    <xf numFmtId="0" fontId="1" fillId="0" borderId="41" xfId="49" applyFont="1" applyBorder="1" applyAlignment="1">
      <alignment vertical="center"/>
      <protection/>
    </xf>
    <xf numFmtId="4" fontId="1" fillId="0" borderId="14" xfId="49" applyNumberFormat="1" applyFont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6" fillId="0" borderId="42" xfId="49" applyFont="1" applyFill="1" applyBorder="1" applyAlignment="1">
      <alignment horizontal="center" vertical="center" wrapText="1"/>
      <protection/>
    </xf>
    <xf numFmtId="49" fontId="6" fillId="0" borderId="20" xfId="49" applyNumberFormat="1" applyFont="1" applyFill="1" applyBorder="1" applyAlignment="1">
      <alignment horizontal="center" vertical="center" wrapText="1"/>
      <protection/>
    </xf>
    <xf numFmtId="49" fontId="6" fillId="0" borderId="43" xfId="49" applyNumberFormat="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49" fontId="36" fillId="0" borderId="18" xfId="49" applyNumberFormat="1" applyFont="1" applyFill="1" applyBorder="1" applyAlignment="1">
      <alignment horizontal="center" vertical="center" wrapText="1"/>
      <protection/>
    </xf>
    <xf numFmtId="4" fontId="36" fillId="0" borderId="19" xfId="49" applyNumberFormat="1" applyFont="1" applyFill="1" applyBorder="1" applyAlignment="1">
      <alignment vertical="center" wrapText="1"/>
      <protection/>
    </xf>
    <xf numFmtId="4" fontId="36" fillId="0" borderId="44" xfId="49" applyNumberFormat="1" applyFont="1" applyFill="1" applyBorder="1" applyAlignment="1">
      <alignment vertical="center" wrapText="1"/>
      <protection/>
    </xf>
    <xf numFmtId="0" fontId="6" fillId="0" borderId="18" xfId="49" applyFont="1" applyFill="1" applyBorder="1" applyAlignment="1">
      <alignment horizontal="center" vertical="center"/>
      <protection/>
    </xf>
    <xf numFmtId="49" fontId="6" fillId="0" borderId="18" xfId="49" applyNumberFormat="1" applyFont="1" applyFill="1" applyBorder="1" applyAlignment="1">
      <alignment horizontal="center" vertical="center" wrapText="1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45" xfId="49" applyFont="1" applyBorder="1" applyAlignment="1">
      <alignment vertical="center"/>
      <protection/>
    </xf>
    <xf numFmtId="4" fontId="6" fillId="0" borderId="19" xfId="51" applyNumberFormat="1" applyFont="1" applyFill="1" applyBorder="1" applyAlignment="1">
      <alignment vertical="center" wrapText="1"/>
      <protection/>
    </xf>
    <xf numFmtId="49" fontId="6" fillId="0" borderId="46" xfId="51" applyNumberFormat="1" applyFont="1" applyFill="1" applyBorder="1" applyAlignment="1">
      <alignment horizontal="center" vertical="center"/>
      <protection/>
    </xf>
    <xf numFmtId="4" fontId="6" fillId="0" borderId="46" xfId="51" applyNumberFormat="1" applyFont="1" applyFill="1" applyBorder="1" applyAlignment="1">
      <alignment vertical="center" wrapText="1"/>
      <protection/>
    </xf>
    <xf numFmtId="49" fontId="1" fillId="0" borderId="27" xfId="51" applyNumberFormat="1" applyFont="1" applyFill="1" applyBorder="1" applyAlignment="1">
      <alignment horizontal="center" vertical="center"/>
      <protection/>
    </xf>
    <xf numFmtId="0" fontId="33" fillId="0" borderId="21" xfId="48" applyFont="1" applyFill="1" applyBorder="1" applyAlignment="1">
      <alignment vertical="center" wrapText="1"/>
      <protection/>
    </xf>
    <xf numFmtId="0" fontId="1" fillId="0" borderId="18" xfId="49" applyFont="1" applyFill="1" applyBorder="1" applyAlignment="1">
      <alignment horizontal="center" vertical="center"/>
      <protection/>
    </xf>
    <xf numFmtId="0" fontId="1" fillId="0" borderId="18" xfId="51" applyFont="1" applyFill="1" applyBorder="1" applyAlignment="1">
      <alignment horizontal="center"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171" fontId="1" fillId="0" borderId="46" xfId="51" applyNumberFormat="1" applyFont="1" applyFill="1" applyBorder="1" applyAlignment="1">
      <alignment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50" xfId="51" applyFont="1" applyFill="1" applyBorder="1" applyAlignment="1">
      <alignment vertical="center"/>
      <protection/>
    </xf>
    <xf numFmtId="171" fontId="1" fillId="0" borderId="34" xfId="51" applyNumberFormat="1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 wrapText="1"/>
      <protection/>
    </xf>
    <xf numFmtId="0" fontId="1" fillId="0" borderId="38" xfId="48" applyFont="1" applyFill="1" applyBorder="1" applyAlignment="1">
      <alignment vertical="center" wrapText="1"/>
      <protection/>
    </xf>
    <xf numFmtId="0" fontId="1" fillId="0" borderId="38" xfId="49" applyFont="1" applyBorder="1" applyAlignment="1">
      <alignment vertical="center"/>
      <protection/>
    </xf>
    <xf numFmtId="4" fontId="1" fillId="0" borderId="51" xfId="49" applyNumberFormat="1" applyFont="1" applyBorder="1" applyAlignment="1">
      <alignment vertical="center"/>
      <protection/>
    </xf>
    <xf numFmtId="0" fontId="32" fillId="0" borderId="40" xfId="48" applyFont="1" applyFill="1" applyBorder="1" applyAlignment="1">
      <alignment vertical="center"/>
      <protection/>
    </xf>
    <xf numFmtId="0" fontId="6" fillId="0" borderId="17" xfId="48" applyFont="1" applyFill="1" applyBorder="1" applyAlignment="1">
      <alignment vertical="center"/>
      <protection/>
    </xf>
    <xf numFmtId="0" fontId="1" fillId="0" borderId="52" xfId="48" applyFont="1" applyFill="1" applyBorder="1" applyAlignment="1">
      <alignment vertical="center"/>
      <protection/>
    </xf>
    <xf numFmtId="4" fontId="9" fillId="0" borderId="26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4" fontId="4" fillId="0" borderId="19" xfId="52" applyNumberFormat="1" applyFont="1" applyFill="1" applyBorder="1" applyAlignment="1">
      <alignment vertical="center"/>
      <protection/>
    </xf>
    <xf numFmtId="4" fontId="1" fillId="0" borderId="23" xfId="52" applyNumberFormat="1" applyFont="1" applyFill="1" applyBorder="1" applyAlignment="1">
      <alignment vertical="center"/>
      <protection/>
    </xf>
    <xf numFmtId="4" fontId="1" fillId="0" borderId="16" xfId="52" applyNumberFormat="1" applyFont="1" applyFill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4" fontId="4" fillId="24" borderId="12" xfId="52" applyNumberFormat="1" applyFont="1" applyFill="1" applyBorder="1" applyAlignment="1">
      <alignment vertical="center"/>
      <protection/>
    </xf>
    <xf numFmtId="4" fontId="4" fillId="24" borderId="32" xfId="52" applyNumberFormat="1" applyFont="1" applyFill="1" applyBorder="1" applyAlignment="1">
      <alignment vertical="center"/>
      <protection/>
    </xf>
    <xf numFmtId="4" fontId="4" fillId="24" borderId="11" xfId="52" applyNumberFormat="1" applyFont="1" applyFill="1" applyBorder="1" applyAlignment="1">
      <alignment vertical="center"/>
      <protection/>
    </xf>
    <xf numFmtId="4" fontId="4" fillId="24" borderId="33" xfId="52" applyNumberFormat="1" applyFont="1" applyFill="1" applyBorder="1" applyAlignment="1">
      <alignment vertical="center"/>
      <protection/>
    </xf>
    <xf numFmtId="49" fontId="1" fillId="0" borderId="46" xfId="52" applyNumberFormat="1" applyFont="1" applyFill="1" applyBorder="1" applyAlignment="1">
      <alignment horizontal="center" vertical="center"/>
      <protection/>
    </xf>
    <xf numFmtId="0" fontId="1" fillId="0" borderId="18" xfId="49" applyFont="1" applyBorder="1" applyAlignment="1">
      <alignment horizontal="center" vertical="center"/>
      <protection/>
    </xf>
    <xf numFmtId="0" fontId="1" fillId="0" borderId="40" xfId="52" applyFont="1" applyFill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0" fillId="0" borderId="18" xfId="52" applyFont="1" applyFill="1" applyBorder="1" applyAlignment="1">
      <alignment vertical="center"/>
      <protection/>
    </xf>
    <xf numFmtId="0" fontId="1" fillId="0" borderId="17" xfId="49" applyFont="1" applyBorder="1" applyAlignment="1">
      <alignment horizontal="left" vertical="center"/>
      <protection/>
    </xf>
    <xf numFmtId="4" fontId="1" fillId="0" borderId="47" xfId="49" applyNumberFormat="1" applyFont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4" fontId="1" fillId="0" borderId="19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" fillId="0" borderId="40" xfId="51" applyFont="1" applyBorder="1" applyAlignment="1">
      <alignment horizontal="center" vertical="center"/>
      <protection/>
    </xf>
    <xf numFmtId="49" fontId="6" fillId="0" borderId="39" xfId="52" applyNumberFormat="1" applyFont="1" applyFill="1" applyBorder="1" applyAlignment="1">
      <alignment horizontal="center" vertical="center" wrapText="1"/>
      <protection/>
    </xf>
    <xf numFmtId="0" fontId="6" fillId="0" borderId="53" xfId="52" applyFont="1" applyFill="1" applyBorder="1" applyAlignment="1">
      <alignment horizontal="center" vertical="center" wrapText="1"/>
      <protection/>
    </xf>
    <xf numFmtId="49" fontId="6" fillId="0" borderId="18" xfId="52" applyNumberFormat="1" applyFont="1" applyFill="1" applyBorder="1" applyAlignment="1">
      <alignment horizontal="center" vertical="center" wrapText="1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4" fontId="6" fillId="0" borderId="19" xfId="52" applyNumberFormat="1" applyFont="1" applyFill="1" applyBorder="1" applyAlignment="1">
      <alignment vertical="center" wrapText="1"/>
      <protection/>
    </xf>
    <xf numFmtId="4" fontId="6" fillId="0" borderId="46" xfId="52" applyNumberFormat="1" applyFont="1" applyFill="1" applyBorder="1" applyAlignment="1">
      <alignment vertical="center" wrapText="1"/>
      <protection/>
    </xf>
    <xf numFmtId="49" fontId="1" fillId="0" borderId="54" xfId="52" applyNumberFormat="1" applyFont="1" applyFill="1" applyBorder="1" applyAlignment="1">
      <alignment horizontal="center" vertical="center" wrapText="1"/>
      <protection/>
    </xf>
    <xf numFmtId="0" fontId="1" fillId="0" borderId="55" xfId="52" applyFont="1" applyFill="1" applyBorder="1" applyAlignment="1">
      <alignment horizontal="center" vertical="center" wrapText="1"/>
      <protection/>
    </xf>
    <xf numFmtId="49" fontId="1" fillId="0" borderId="24" xfId="52" applyNumberFormat="1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" vertical="center" wrapText="1"/>
      <protection/>
    </xf>
    <xf numFmtId="49" fontId="1" fillId="0" borderId="41" xfId="52" applyNumberFormat="1" applyFont="1" applyFill="1" applyBorder="1" applyAlignment="1">
      <alignment horizontal="center" vertical="center" wrapText="1"/>
      <protection/>
    </xf>
    <xf numFmtId="0" fontId="1" fillId="0" borderId="41" xfId="48" applyFont="1" applyFill="1" applyBorder="1" applyAlignment="1">
      <alignment vertical="center" wrapText="1"/>
      <protection/>
    </xf>
    <xf numFmtId="4" fontId="1" fillId="0" borderId="14" xfId="52" applyNumberFormat="1" applyFont="1" applyFill="1" applyBorder="1" applyAlignment="1">
      <alignment vertical="center" wrapText="1"/>
      <protection/>
    </xf>
    <xf numFmtId="4" fontId="1" fillId="0" borderId="27" xfId="52" applyNumberFormat="1" applyFont="1" applyFill="1" applyBorder="1" applyAlignment="1">
      <alignment vertical="center" wrapText="1"/>
      <protection/>
    </xf>
    <xf numFmtId="0" fontId="1" fillId="0" borderId="24" xfId="51" applyFont="1" applyBorder="1" applyAlignment="1">
      <alignment horizontal="center" vertical="center"/>
      <protection/>
    </xf>
    <xf numFmtId="49" fontId="36" fillId="0" borderId="46" xfId="52" applyNumberFormat="1" applyFont="1" applyFill="1" applyBorder="1" applyAlignment="1">
      <alignment horizontal="center" vertical="center"/>
      <protection/>
    </xf>
    <xf numFmtId="49" fontId="36" fillId="0" borderId="40" xfId="52" applyNumberFormat="1" applyFont="1" applyBorder="1" applyAlignment="1">
      <alignment horizontal="center" vertical="center" wrapText="1"/>
      <protection/>
    </xf>
    <xf numFmtId="0" fontId="36" fillId="0" borderId="18" xfId="52" applyFont="1" applyFill="1" applyBorder="1" applyAlignment="1">
      <alignment horizontal="center" vertical="center" wrapText="1"/>
      <protection/>
    </xf>
    <xf numFmtId="2" fontId="37" fillId="0" borderId="17" xfId="54" applyNumberFormat="1" applyFont="1" applyFill="1" applyBorder="1" applyAlignment="1">
      <alignment horizontal="left" vertical="center" wrapText="1"/>
      <protection/>
    </xf>
    <xf numFmtId="0" fontId="1" fillId="0" borderId="24" xfId="52" applyFont="1" applyBorder="1" applyAlignment="1">
      <alignment horizontal="center" vertical="center"/>
      <protection/>
    </xf>
    <xf numFmtId="0" fontId="0" fillId="0" borderId="41" xfId="52" applyFont="1" applyFill="1" applyBorder="1" applyAlignment="1">
      <alignment vertical="center"/>
      <protection/>
    </xf>
    <xf numFmtId="4" fontId="1" fillId="0" borderId="14" xfId="52" applyNumberFormat="1" applyFont="1" applyFill="1" applyBorder="1" applyAlignment="1">
      <alignment vertical="center"/>
      <protection/>
    </xf>
    <xf numFmtId="4" fontId="1" fillId="0" borderId="56" xfId="52" applyNumberFormat="1" applyFont="1" applyFill="1" applyBorder="1" applyAlignment="1">
      <alignment vertical="center"/>
      <protection/>
    </xf>
    <xf numFmtId="49" fontId="6" fillId="0" borderId="39" xfId="52" applyNumberFormat="1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4" fontId="6" fillId="0" borderId="46" xfId="49" applyNumberFormat="1" applyFont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49" fontId="1" fillId="0" borderId="25" xfId="52" applyNumberFormat="1" applyFont="1" applyFill="1" applyBorder="1" applyAlignment="1">
      <alignment horizontal="center" vertical="center"/>
      <protection/>
    </xf>
    <xf numFmtId="0" fontId="1" fillId="0" borderId="26" xfId="52" applyFont="1" applyFill="1" applyBorder="1" applyAlignment="1">
      <alignment horizontal="center" vertical="center"/>
      <protection/>
    </xf>
    <xf numFmtId="0" fontId="1" fillId="0" borderId="26" xfId="52" applyFont="1" applyBorder="1" applyAlignment="1">
      <alignment horizontal="center" vertical="center"/>
      <protection/>
    </xf>
    <xf numFmtId="0" fontId="0" fillId="0" borderId="26" xfId="52" applyFont="1" applyFill="1" applyBorder="1" applyAlignment="1">
      <alignment vertical="center"/>
      <protection/>
    </xf>
    <xf numFmtId="4" fontId="1" fillId="0" borderId="57" xfId="49" applyNumberFormat="1" applyFont="1" applyBorder="1" applyAlignment="1">
      <alignment vertical="center"/>
      <protection/>
    </xf>
    <xf numFmtId="4" fontId="1" fillId="0" borderId="58" xfId="52" applyNumberFormat="1" applyFont="1" applyFill="1" applyBorder="1" applyAlignment="1">
      <alignment vertical="center"/>
      <protection/>
    </xf>
    <xf numFmtId="49" fontId="6" fillId="0" borderId="46" xfId="52" applyNumberFormat="1" applyFont="1" applyFill="1" applyBorder="1" applyAlignment="1">
      <alignment horizontal="center" vertical="center"/>
      <protection/>
    </xf>
    <xf numFmtId="49" fontId="6" fillId="0" borderId="18" xfId="52" applyNumberFormat="1" applyFont="1" applyFill="1" applyBorder="1" applyAlignment="1">
      <alignment horizontal="center" vertical="center"/>
      <protection/>
    </xf>
    <xf numFmtId="4" fontId="6" fillId="0" borderId="19" xfId="52" applyNumberFormat="1" applyFont="1" applyFill="1" applyBorder="1" applyAlignment="1">
      <alignment vertical="center"/>
      <protection/>
    </xf>
    <xf numFmtId="49" fontId="1" fillId="0" borderId="27" xfId="52" applyNumberFormat="1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horizontal="center" vertical="center"/>
      <protection/>
    </xf>
    <xf numFmtId="49" fontId="1" fillId="0" borderId="20" xfId="52" applyNumberFormat="1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horizontal="center"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4" fontId="1" fillId="0" borderId="22" xfId="52" applyNumberFormat="1" applyFont="1" applyFill="1" applyBorder="1" applyAlignment="1">
      <alignment vertical="center"/>
      <protection/>
    </xf>
    <xf numFmtId="4" fontId="6" fillId="0" borderId="47" xfId="52" applyNumberFormat="1" applyFont="1" applyFill="1" applyBorder="1" applyAlignment="1">
      <alignment vertical="center" wrapText="1"/>
      <protection/>
    </xf>
    <xf numFmtId="4" fontId="1" fillId="0" borderId="51" xfId="52" applyNumberFormat="1" applyFont="1" applyFill="1" applyBorder="1" applyAlignment="1">
      <alignment vertical="center" wrapText="1"/>
      <protection/>
    </xf>
    <xf numFmtId="4" fontId="1" fillId="0" borderId="11" xfId="49" applyNumberFormat="1" applyFont="1" applyBorder="1" applyAlignment="1">
      <alignment vertical="center"/>
      <protection/>
    </xf>
    <xf numFmtId="4" fontId="6" fillId="0" borderId="47" xfId="52" applyNumberFormat="1" applyFont="1" applyFill="1" applyBorder="1" applyAlignment="1">
      <alignment vertical="center"/>
      <protection/>
    </xf>
    <xf numFmtId="49" fontId="1" fillId="0" borderId="21" xfId="52" applyNumberFormat="1" applyFont="1" applyFill="1" applyBorder="1" applyAlignment="1">
      <alignment horizontal="center" vertical="center"/>
      <protection/>
    </xf>
    <xf numFmtId="4" fontId="1" fillId="0" borderId="51" xfId="52" applyNumberFormat="1" applyFont="1" applyFill="1" applyBorder="1" applyAlignment="1">
      <alignment vertical="center"/>
      <protection/>
    </xf>
    <xf numFmtId="0" fontId="4" fillId="0" borderId="18" xfId="52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59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9" fillId="0" borderId="57" xfId="0" applyFont="1" applyBorder="1" applyAlignment="1">
      <alignment vertical="center" wrapText="1"/>
    </xf>
    <xf numFmtId="0" fontId="9" fillId="0" borderId="16" xfId="0" applyFont="1" applyBorder="1" applyAlignment="1">
      <alignment horizontal="right" vertical="center" wrapText="1"/>
    </xf>
    <xf numFmtId="4" fontId="9" fillId="0" borderId="60" xfId="0" applyNumberFormat="1" applyFont="1" applyBorder="1" applyAlignment="1">
      <alignment horizontal="right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0" fontId="8" fillId="0" borderId="57" xfId="0" applyFont="1" applyBorder="1" applyAlignment="1">
      <alignment vertical="center" wrapText="1"/>
    </xf>
    <xf numFmtId="4" fontId="8" fillId="0" borderId="57" xfId="0" applyNumberFormat="1" applyFont="1" applyBorder="1" applyAlignment="1">
      <alignment horizontal="right" vertical="center" wrapText="1"/>
    </xf>
    <xf numFmtId="4" fontId="8" fillId="0" borderId="45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4" fontId="9" fillId="0" borderId="57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4" fontId="8" fillId="0" borderId="58" xfId="0" applyNumberFormat="1" applyFont="1" applyBorder="1" applyAlignment="1">
      <alignment horizontal="right" vertical="center" wrapText="1"/>
    </xf>
    <xf numFmtId="0" fontId="8" fillId="0" borderId="32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31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8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4" fontId="9" fillId="0" borderId="62" xfId="0" applyNumberFormat="1" applyFont="1" applyBorder="1" applyAlignment="1">
      <alignment horizontal="right" vertical="center" wrapText="1"/>
    </xf>
    <xf numFmtId="0" fontId="9" fillId="0" borderId="63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right" vertical="center" wrapText="1"/>
    </xf>
    <xf numFmtId="4" fontId="9" fillId="0" borderId="64" xfId="0" applyNumberFormat="1" applyFont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4" fontId="9" fillId="0" borderId="50" xfId="0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4" fontId="1" fillId="0" borderId="57" xfId="53" applyNumberFormat="1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4" fontId="1" fillId="0" borderId="16" xfId="53" applyNumberFormat="1" applyFont="1" applyFill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49" fontId="4" fillId="0" borderId="46" xfId="52" applyNumberFormat="1" applyFont="1" applyFill="1" applyBorder="1" applyAlignment="1">
      <alignment horizontal="center" vertical="center"/>
      <protection/>
    </xf>
    <xf numFmtId="0" fontId="4" fillId="0" borderId="18" xfId="49" applyFont="1" applyFill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4" fontId="4" fillId="0" borderId="47" xfId="52" applyNumberFormat="1" applyFont="1" applyFill="1" applyBorder="1" applyAlignment="1">
      <alignment vertical="center"/>
      <protection/>
    </xf>
    <xf numFmtId="4" fontId="4" fillId="0" borderId="46" xfId="52" applyNumberFormat="1" applyFont="1" applyFill="1" applyBorder="1" applyAlignment="1">
      <alignment vertical="center" wrapText="1"/>
      <protection/>
    </xf>
    <xf numFmtId="49" fontId="1" fillId="0" borderId="34" xfId="52" applyNumberFormat="1" applyFont="1" applyFill="1" applyBorder="1" applyAlignment="1">
      <alignment horizontal="center" vertical="center"/>
      <protection/>
    </xf>
    <xf numFmtId="0" fontId="1" fillId="0" borderId="48" xfId="52" applyFont="1" applyFill="1" applyBorder="1" applyAlignment="1">
      <alignment horizontal="center" vertical="center"/>
      <protection/>
    </xf>
    <xf numFmtId="49" fontId="1" fillId="0" borderId="26" xfId="52" applyNumberFormat="1" applyFont="1" applyFill="1" applyBorder="1" applyAlignment="1">
      <alignment horizontal="center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57" xfId="52" applyNumberFormat="1" applyFont="1" applyFill="1" applyBorder="1" applyAlignment="1">
      <alignment vertical="center"/>
      <protection/>
    </xf>
    <xf numFmtId="49" fontId="1" fillId="0" borderId="59" xfId="52" applyNumberFormat="1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0" fontId="0" fillId="0" borderId="36" xfId="52" applyFont="1" applyFill="1" applyBorder="1" applyAlignment="1">
      <alignment vertical="center"/>
      <protection/>
    </xf>
    <xf numFmtId="4" fontId="1" fillId="0" borderId="59" xfId="49" applyNumberFormat="1" applyFont="1" applyBorder="1" applyAlignment="1">
      <alignment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0" fillId="0" borderId="20" xfId="52" applyFont="1" applyFill="1" applyBorder="1" applyAlignment="1">
      <alignment vertical="center"/>
      <protection/>
    </xf>
    <xf numFmtId="0" fontId="1" fillId="0" borderId="52" xfId="49" applyFont="1" applyBorder="1" applyAlignment="1">
      <alignment vertical="center"/>
      <protection/>
    </xf>
    <xf numFmtId="49" fontId="1" fillId="0" borderId="32" xfId="52" applyNumberFormat="1" applyFont="1" applyFill="1" applyBorder="1" applyAlignment="1">
      <alignment horizontal="center" vertical="center"/>
      <protection/>
    </xf>
    <xf numFmtId="0" fontId="1" fillId="0" borderId="10" xfId="49" applyFont="1" applyFill="1" applyBorder="1" applyAlignment="1">
      <alignment horizontal="center" vertical="center"/>
      <protection/>
    </xf>
    <xf numFmtId="0" fontId="1" fillId="0" borderId="3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0" fillId="0" borderId="30" xfId="52" applyFont="1" applyFill="1" applyBorder="1" applyAlignment="1">
      <alignment vertical="center"/>
      <protection/>
    </xf>
    <xf numFmtId="0" fontId="1" fillId="0" borderId="30" xfId="49" applyFont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49" fontId="4" fillId="24" borderId="28" xfId="52" applyNumberFormat="1" applyFont="1" applyFill="1" applyBorder="1" applyAlignment="1">
      <alignment horizontal="center" vertical="center"/>
      <protection/>
    </xf>
    <xf numFmtId="0" fontId="4" fillId="24" borderId="29" xfId="52" applyFont="1" applyFill="1" applyBorder="1" applyAlignment="1">
      <alignment horizontal="center" vertical="center"/>
      <protection/>
    </xf>
    <xf numFmtId="49" fontId="4" fillId="24" borderId="10" xfId="52" applyNumberFormat="1" applyFont="1" applyFill="1" applyBorder="1" applyAlignment="1">
      <alignment horizontal="center" vertical="center"/>
      <protection/>
    </xf>
    <xf numFmtId="0" fontId="4" fillId="24" borderId="10" xfId="52" applyFont="1" applyFill="1" applyBorder="1" applyAlignment="1">
      <alignment horizontal="center" vertical="center"/>
      <protection/>
    </xf>
    <xf numFmtId="49" fontId="4" fillId="24" borderId="30" xfId="52" applyNumberFormat="1" applyFont="1" applyFill="1" applyBorder="1" applyAlignment="1">
      <alignment horizontal="center" vertical="center"/>
      <protection/>
    </xf>
    <xf numFmtId="0" fontId="4" fillId="24" borderId="31" xfId="52" applyFont="1" applyFill="1" applyBorder="1" applyAlignment="1">
      <alignment horizontal="left"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0" fontId="1" fillId="0" borderId="62" xfId="49" applyFont="1" applyBorder="1" applyAlignment="1">
      <alignment horizontal="left" vertical="center"/>
      <protection/>
    </xf>
    <xf numFmtId="4" fontId="1" fillId="0" borderId="37" xfId="49" applyNumberFormat="1" applyFont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4" fontId="1" fillId="0" borderId="11" xfId="49" applyNumberFormat="1" applyFont="1" applyFill="1" applyBorder="1" applyAlignment="1">
      <alignment vertical="center"/>
      <protection/>
    </xf>
    <xf numFmtId="4" fontId="1" fillId="0" borderId="14" xfId="53" applyNumberFormat="1" applyFont="1" applyFill="1" applyBorder="1" applyAlignment="1">
      <alignment vertical="center"/>
      <protection/>
    </xf>
    <xf numFmtId="49" fontId="6" fillId="0" borderId="39" xfId="51" applyNumberFormat="1" applyFont="1" applyFill="1" applyBorder="1" applyAlignment="1">
      <alignment horizontal="center" vertical="center" wrapText="1"/>
      <protection/>
    </xf>
    <xf numFmtId="0" fontId="6" fillId="0" borderId="53" xfId="51" applyFont="1" applyFill="1" applyBorder="1" applyAlignment="1">
      <alignment horizontal="center" vertical="center" wrapText="1"/>
      <protection/>
    </xf>
    <xf numFmtId="49" fontId="6" fillId="0" borderId="18" xfId="51" applyNumberFormat="1" applyFont="1" applyFill="1" applyBorder="1" applyAlignment="1">
      <alignment horizontal="center" vertical="center" wrapText="1"/>
      <protection/>
    </xf>
    <xf numFmtId="0" fontId="6" fillId="0" borderId="40" xfId="48" applyFont="1" applyFill="1" applyBorder="1" applyAlignment="1">
      <alignment vertical="center" wrapText="1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49" fontId="1" fillId="0" borderId="21" xfId="51" applyNumberFormat="1" applyFont="1" applyFill="1" applyBorder="1" applyAlignment="1">
      <alignment horizontal="center" vertical="center"/>
      <protection/>
    </xf>
    <xf numFmtId="0" fontId="1" fillId="0" borderId="21" xfId="48" applyFont="1" applyFill="1" applyBorder="1" applyAlignment="1">
      <alignment vertical="center"/>
      <protection/>
    </xf>
    <xf numFmtId="49" fontId="1" fillId="0" borderId="41" xfId="51" applyNumberFormat="1" applyFont="1" applyFill="1" applyBorder="1" applyAlignment="1">
      <alignment horizontal="center" vertical="center"/>
      <protection/>
    </xf>
    <xf numFmtId="4" fontId="6" fillId="0" borderId="44" xfId="51" applyNumberFormat="1" applyFont="1" applyFill="1" applyBorder="1" applyAlignment="1">
      <alignment vertical="center" wrapText="1"/>
      <protection/>
    </xf>
    <xf numFmtId="0" fontId="33" fillId="0" borderId="45" xfId="48" applyFont="1" applyFill="1" applyBorder="1" applyAlignment="1">
      <alignment vertical="center" wrapText="1"/>
      <protection/>
    </xf>
    <xf numFmtId="0" fontId="33" fillId="0" borderId="38" xfId="48" applyFont="1" applyFill="1" applyBorder="1" applyAlignment="1">
      <alignment vertical="center" wrapText="1"/>
      <protection/>
    </xf>
    <xf numFmtId="4" fontId="1" fillId="0" borderId="59" xfId="51" applyNumberFormat="1" applyFont="1" applyFill="1" applyBorder="1" applyAlignment="1">
      <alignment vertical="center"/>
      <protection/>
    </xf>
    <xf numFmtId="0" fontId="1" fillId="0" borderId="45" xfId="51" applyFont="1" applyFill="1" applyBorder="1" applyAlignment="1">
      <alignment vertical="center"/>
      <protection/>
    </xf>
    <xf numFmtId="0" fontId="1" fillId="0" borderId="52" xfId="51" applyFont="1" applyFill="1" applyBorder="1" applyAlignment="1">
      <alignment vertical="center"/>
      <protection/>
    </xf>
    <xf numFmtId="4" fontId="1" fillId="0" borderId="34" xfId="51" applyNumberFormat="1" applyFont="1" applyFill="1" applyBorder="1" applyAlignment="1">
      <alignment vertical="center"/>
      <protection/>
    </xf>
    <xf numFmtId="4" fontId="1" fillId="0" borderId="58" xfId="51" applyNumberFormat="1" applyFont="1" applyFill="1" applyBorder="1" applyAlignment="1">
      <alignment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7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1" fontId="4" fillId="0" borderId="32" xfId="51" applyNumberFormat="1" applyFont="1" applyFill="1" applyBorder="1" applyAlignment="1">
      <alignment horizontal="center" vertical="center"/>
      <protection/>
    </xf>
    <xf numFmtId="2" fontId="4" fillId="0" borderId="65" xfId="51" applyNumberFormat="1" applyFont="1" applyBorder="1" applyAlignment="1">
      <alignment horizontal="center" vertical="center"/>
      <protection/>
    </xf>
    <xf numFmtId="2" fontId="4" fillId="0" borderId="10" xfId="51" applyNumberFormat="1" applyFont="1" applyBorder="1" applyAlignment="1">
      <alignment horizontal="center" vertical="center"/>
      <protection/>
    </xf>
    <xf numFmtId="2" fontId="4" fillId="0" borderId="66" xfId="51" applyNumberFormat="1" applyFont="1" applyFill="1" applyBorder="1" applyAlignment="1">
      <alignment horizontal="center" vertical="center"/>
      <protection/>
    </xf>
    <xf numFmtId="2" fontId="4" fillId="0" borderId="67" xfId="51" applyNumberFormat="1" applyFont="1" applyFill="1" applyBorder="1" applyAlignment="1">
      <alignment horizontal="center" vertical="center"/>
      <protection/>
    </xf>
    <xf numFmtId="4" fontId="4" fillId="0" borderId="28" xfId="51" applyNumberFormat="1" applyFont="1" applyFill="1" applyBorder="1" applyAlignment="1">
      <alignment vertical="center"/>
      <protection/>
    </xf>
    <xf numFmtId="2" fontId="4" fillId="0" borderId="53" xfId="51" applyNumberFormat="1" applyFont="1" applyBorder="1" applyAlignment="1">
      <alignment horizontal="center" vertical="center"/>
      <protection/>
    </xf>
    <xf numFmtId="49" fontId="4" fillId="0" borderId="18" xfId="51" applyNumberFormat="1" applyFont="1" applyBorder="1" applyAlignment="1">
      <alignment horizontal="center" vertical="center"/>
      <protection/>
    </xf>
    <xf numFmtId="2" fontId="4" fillId="0" borderId="18" xfId="51" applyNumberFormat="1" applyFont="1" applyFill="1" applyBorder="1" applyAlignment="1">
      <alignment horizontal="center" vertical="center"/>
      <protection/>
    </xf>
    <xf numFmtId="2" fontId="4" fillId="0" borderId="17" xfId="51" applyNumberFormat="1" applyFont="1" applyFill="1" applyBorder="1" applyAlignment="1">
      <alignment vertical="center"/>
      <protection/>
    </xf>
    <xf numFmtId="4" fontId="4" fillId="0" borderId="19" xfId="51" applyNumberFormat="1" applyFont="1" applyFill="1" applyBorder="1" applyAlignment="1">
      <alignment vertical="center"/>
      <protection/>
    </xf>
    <xf numFmtId="4" fontId="4" fillId="0" borderId="39" xfId="51" applyNumberFormat="1" applyFont="1" applyFill="1" applyBorder="1" applyAlignment="1">
      <alignment vertical="center"/>
      <protection/>
    </xf>
    <xf numFmtId="2" fontId="1" fillId="0" borderId="43" xfId="51" applyNumberFormat="1" applyFont="1" applyBorder="1" applyAlignment="1">
      <alignment horizontal="center" vertical="center"/>
      <protection/>
    </xf>
    <xf numFmtId="2" fontId="1" fillId="0" borderId="20" xfId="51" applyNumberFormat="1" applyFont="1" applyBorder="1" applyAlignment="1">
      <alignment horizontal="center" vertical="center"/>
      <protection/>
    </xf>
    <xf numFmtId="1" fontId="1" fillId="0" borderId="20" xfId="51" applyNumberFormat="1" applyFont="1" applyFill="1" applyBorder="1" applyAlignment="1">
      <alignment horizontal="center" vertical="center"/>
      <protection/>
    </xf>
    <xf numFmtId="2" fontId="1" fillId="0" borderId="52" xfId="51" applyNumberFormat="1" applyFont="1" applyFill="1" applyBorder="1" applyAlignment="1">
      <alignment vertical="center"/>
      <protection/>
    </xf>
    <xf numFmtId="4" fontId="1" fillId="0" borderId="42" xfId="51" applyNumberFormat="1" applyFont="1" applyFill="1" applyBorder="1" applyAlignment="1">
      <alignment vertical="center"/>
      <protection/>
    </xf>
    <xf numFmtId="2" fontId="4" fillId="0" borderId="53" xfId="51" applyNumberFormat="1" applyFont="1" applyFill="1" applyBorder="1" applyAlignment="1">
      <alignment horizontal="center" vertical="center" wrapText="1"/>
      <protection/>
    </xf>
    <xf numFmtId="49" fontId="4" fillId="0" borderId="18" xfId="50" applyNumberFormat="1" applyFont="1" applyFill="1" applyBorder="1" applyAlignment="1">
      <alignment horizontal="center" vertical="center"/>
      <protection/>
    </xf>
    <xf numFmtId="1" fontId="4" fillId="0" borderId="18" xfId="51" applyNumberFormat="1" applyFont="1" applyFill="1" applyBorder="1" applyAlignment="1">
      <alignment horizontal="center" vertical="center" wrapText="1"/>
      <protection/>
    </xf>
    <xf numFmtId="2" fontId="4" fillId="0" borderId="17" xfId="51" applyNumberFormat="1" applyFont="1" applyFill="1" applyBorder="1" applyAlignment="1">
      <alignment horizontal="left" vertical="center" wrapText="1"/>
      <protection/>
    </xf>
    <xf numFmtId="2" fontId="1" fillId="0" borderId="55" xfId="51" applyNumberFormat="1" applyFont="1" applyFill="1" applyBorder="1" applyAlignment="1">
      <alignment horizontal="center" vertical="center"/>
      <protection/>
    </xf>
    <xf numFmtId="2" fontId="4" fillId="0" borderId="24" xfId="51" applyNumberFormat="1" applyFont="1" applyFill="1" applyBorder="1" applyAlignment="1">
      <alignment horizontal="center" vertical="center"/>
      <protection/>
    </xf>
    <xf numFmtId="1" fontId="1" fillId="0" borderId="24" xfId="51" applyNumberFormat="1" applyFont="1" applyFill="1" applyBorder="1" applyAlignment="1">
      <alignment horizontal="center" vertical="center"/>
      <protection/>
    </xf>
    <xf numFmtId="1" fontId="1" fillId="0" borderId="26" xfId="51" applyNumberFormat="1" applyFont="1" applyFill="1" applyBorder="1" applyAlignment="1">
      <alignment horizontal="center" vertical="center"/>
      <protection/>
    </xf>
    <xf numFmtId="4" fontId="1" fillId="0" borderId="54" xfId="51" applyNumberFormat="1" applyFont="1" applyFill="1" applyBorder="1" applyAlignment="1">
      <alignment vertical="center"/>
      <protection/>
    </xf>
    <xf numFmtId="2" fontId="4" fillId="0" borderId="17" xfId="51" applyNumberFormat="1" applyFont="1" applyFill="1" applyBorder="1" applyAlignment="1">
      <alignment horizontal="left" vertical="center"/>
      <protection/>
    </xf>
    <xf numFmtId="49" fontId="4" fillId="0" borderId="18" xfId="51" applyNumberFormat="1" applyFont="1" applyFill="1" applyBorder="1" applyAlignment="1">
      <alignment horizontal="center" vertical="center" wrapText="1"/>
      <protection/>
    </xf>
    <xf numFmtId="2" fontId="4" fillId="0" borderId="17" xfId="51" applyNumberFormat="1" applyFont="1" applyFill="1" applyBorder="1" applyAlignment="1">
      <alignment vertical="center" wrapText="1"/>
      <protection/>
    </xf>
    <xf numFmtId="2" fontId="1" fillId="0" borderId="52" xfId="51" applyNumberFormat="1" applyFont="1" applyFill="1" applyBorder="1" applyAlignment="1">
      <alignment horizontal="left" vertical="center"/>
      <protection/>
    </xf>
    <xf numFmtId="0" fontId="1" fillId="0" borderId="45" xfId="51" applyFont="1" applyFill="1" applyBorder="1" applyAlignment="1">
      <alignment horizontal="left" vertical="center" wrapText="1"/>
      <protection/>
    </xf>
    <xf numFmtId="4" fontId="1" fillId="0" borderId="54" xfId="52" applyNumberFormat="1" applyFont="1" applyFill="1" applyBorder="1" applyAlignment="1">
      <alignment vertical="center"/>
      <protection/>
    </xf>
    <xf numFmtId="0" fontId="4" fillId="0" borderId="53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vertical="center"/>
      <protection/>
    </xf>
    <xf numFmtId="0" fontId="1" fillId="0" borderId="68" xfId="51" applyFont="1" applyFill="1" applyBorder="1" applyAlignment="1">
      <alignment horizontal="center" vertical="center"/>
      <protection/>
    </xf>
    <xf numFmtId="2" fontId="4" fillId="0" borderId="26" xfId="51" applyNumberFormat="1" applyFont="1" applyBorder="1" applyAlignment="1">
      <alignment horizontal="center" vertical="center"/>
      <protection/>
    </xf>
    <xf numFmtId="2" fontId="1" fillId="0" borderId="69" xfId="51" applyNumberFormat="1" applyFont="1" applyBorder="1" applyAlignment="1">
      <alignment horizontal="center" vertical="center"/>
      <protection/>
    </xf>
    <xf numFmtId="49" fontId="1" fillId="17" borderId="24" xfId="51" applyNumberFormat="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vertical="center" wrapText="1"/>
      <protection/>
    </xf>
    <xf numFmtId="2" fontId="4" fillId="0" borderId="24" xfId="51" applyNumberFormat="1" applyFont="1" applyBorder="1" applyAlignment="1">
      <alignment horizontal="center" vertical="center"/>
      <protection/>
    </xf>
    <xf numFmtId="2" fontId="4" fillId="0" borderId="36" xfId="51" applyNumberFormat="1" applyFont="1" applyBorder="1" applyAlignment="1">
      <alignment horizontal="center" vertical="center"/>
      <protection/>
    </xf>
    <xf numFmtId="2" fontId="4" fillId="0" borderId="53" xfId="51" applyNumberFormat="1" applyFont="1" applyBorder="1" applyAlignment="1">
      <alignment horizontal="center" vertical="center" wrapText="1"/>
      <protection/>
    </xf>
    <xf numFmtId="2" fontId="1" fillId="0" borderId="55" xfId="51" applyNumberFormat="1" applyFont="1" applyBorder="1" applyAlignment="1">
      <alignment horizontal="center" vertical="center"/>
      <protection/>
    </xf>
    <xf numFmtId="0" fontId="33" fillId="0" borderId="52" xfId="48" applyFont="1" applyFill="1" applyBorder="1" applyAlignment="1">
      <alignment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0" fontId="4" fillId="0" borderId="17" xfId="52" applyFont="1" applyFill="1" applyBorder="1" applyAlignment="1">
      <alignment vertical="center" wrapText="1"/>
      <protection/>
    </xf>
    <xf numFmtId="1" fontId="1" fillId="0" borderId="21" xfId="52" applyNumberFormat="1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>
      <alignment vertical="center"/>
      <protection/>
    </xf>
    <xf numFmtId="0" fontId="38" fillId="0" borderId="29" xfId="52" applyFont="1" applyFill="1" applyBorder="1" applyAlignment="1">
      <alignment horizontal="center" vertical="center"/>
      <protection/>
    </xf>
    <xf numFmtId="0" fontId="38" fillId="0" borderId="30" xfId="52" applyFont="1" applyFill="1" applyBorder="1" applyAlignment="1">
      <alignment horizontal="center" vertical="center"/>
      <protection/>
    </xf>
    <xf numFmtId="0" fontId="36" fillId="0" borderId="10" xfId="51" applyFont="1" applyFill="1" applyBorder="1" applyAlignment="1">
      <alignment horizontal="center" vertical="center"/>
      <protection/>
    </xf>
    <xf numFmtId="0" fontId="38" fillId="0" borderId="31" xfId="51" applyFont="1" applyFill="1" applyBorder="1" applyAlignment="1">
      <alignment vertical="center"/>
      <protection/>
    </xf>
    <xf numFmtId="4" fontId="38" fillId="0" borderId="11" xfId="51" applyNumberFormat="1" applyFont="1" applyFill="1" applyBorder="1" applyAlignment="1">
      <alignment vertical="center"/>
      <protection/>
    </xf>
    <xf numFmtId="0" fontId="0" fillId="0" borderId="0" xfId="51" applyFill="1" applyAlignment="1">
      <alignment vertical="center"/>
      <protection/>
    </xf>
    <xf numFmtId="0" fontId="4" fillId="0" borderId="53" xfId="52" applyFont="1" applyFill="1" applyBorder="1" applyAlignment="1">
      <alignment horizontal="center" vertical="center"/>
      <protection/>
    </xf>
    <xf numFmtId="49" fontId="4" fillId="0" borderId="40" xfId="52" applyNumberFormat="1" applyFont="1" applyFill="1" applyBorder="1" applyAlignment="1">
      <alignment horizontal="center" vertical="center"/>
      <protection/>
    </xf>
    <xf numFmtId="0" fontId="1" fillId="0" borderId="70" xfId="52" applyFont="1" applyFill="1" applyBorder="1" applyAlignment="1">
      <alignment horizontal="center" vertical="center"/>
      <protection/>
    </xf>
    <xf numFmtId="49" fontId="1" fillId="0" borderId="60" xfId="52" applyNumberFormat="1" applyFont="1" applyFill="1" applyBorder="1" applyAlignment="1">
      <alignment horizontal="center" vertical="center"/>
      <protection/>
    </xf>
    <xf numFmtId="1" fontId="1" fillId="0" borderId="60" xfId="51" applyNumberFormat="1" applyFont="1" applyFill="1" applyBorder="1" applyAlignment="1">
      <alignment horizontal="center" vertical="center"/>
      <protection/>
    </xf>
    <xf numFmtId="2" fontId="1" fillId="0" borderId="45" xfId="51" applyNumberFormat="1" applyFont="1" applyFill="1" applyBorder="1" applyAlignment="1">
      <alignment horizontal="left" vertical="center"/>
      <protection/>
    </xf>
    <xf numFmtId="2" fontId="1" fillId="0" borderId="16" xfId="47" applyNumberFormat="1" applyFont="1" applyFill="1" applyBorder="1" applyAlignment="1">
      <alignment horizontal="right" vertical="center"/>
      <protection/>
    </xf>
    <xf numFmtId="0" fontId="1" fillId="0" borderId="55" xfId="51" applyFont="1" applyFill="1" applyBorder="1" applyAlignment="1">
      <alignment horizontal="center" vertical="center"/>
      <protection/>
    </xf>
    <xf numFmtId="2" fontId="1" fillId="25" borderId="24" xfId="51" applyNumberFormat="1" applyFont="1" applyFill="1" applyBorder="1" applyAlignment="1">
      <alignment horizontal="center" vertical="center"/>
      <protection/>
    </xf>
    <xf numFmtId="1" fontId="1" fillId="0" borderId="41" xfId="51" applyNumberFormat="1" applyFont="1" applyFill="1" applyBorder="1" applyAlignment="1">
      <alignment horizontal="center" vertical="center"/>
      <protection/>
    </xf>
    <xf numFmtId="2" fontId="1" fillId="0" borderId="38" xfId="51" applyNumberFormat="1" applyFont="1" applyFill="1" applyBorder="1" applyAlignment="1">
      <alignment horizontal="left" vertical="center"/>
      <protection/>
    </xf>
    <xf numFmtId="0" fontId="4" fillId="0" borderId="71" xfId="52" applyFont="1" applyFill="1" applyBorder="1" applyAlignment="1">
      <alignment horizontal="center" vertical="center"/>
      <protection/>
    </xf>
    <xf numFmtId="2" fontId="1" fillId="25" borderId="26" xfId="51" applyNumberFormat="1" applyFont="1" applyFill="1" applyBorder="1" applyAlignment="1">
      <alignment horizontal="center" vertical="center"/>
      <protection/>
    </xf>
    <xf numFmtId="49" fontId="4" fillId="0" borderId="35" xfId="52" applyNumberFormat="1" applyFont="1" applyFill="1" applyBorder="1" applyAlignment="1">
      <alignment horizontal="center" vertical="center"/>
      <protection/>
    </xf>
    <xf numFmtId="0" fontId="4" fillId="0" borderId="36" xfId="51" applyFont="1" applyFill="1" applyBorder="1" applyAlignment="1">
      <alignment horizontal="center" vertical="center"/>
      <protection/>
    </xf>
    <xf numFmtId="0" fontId="4" fillId="0" borderId="62" xfId="51" applyFont="1" applyFill="1" applyBorder="1" applyAlignment="1">
      <alignment vertical="center"/>
      <protection/>
    </xf>
    <xf numFmtId="4" fontId="4" fillId="0" borderId="23" xfId="51" applyNumberFormat="1" applyFont="1" applyFill="1" applyBorder="1" applyAlignment="1">
      <alignment vertical="center"/>
      <protection/>
    </xf>
    <xf numFmtId="4" fontId="4" fillId="0" borderId="23" xfId="52" applyNumberFormat="1" applyFont="1" applyFill="1" applyBorder="1" applyAlignment="1">
      <alignment vertical="center"/>
      <protection/>
    </xf>
    <xf numFmtId="49" fontId="4" fillId="0" borderId="60" xfId="52" applyNumberFormat="1" applyFont="1" applyFill="1" applyBorder="1" applyAlignment="1">
      <alignment horizontal="center" vertical="center"/>
      <protection/>
    </xf>
    <xf numFmtId="0" fontId="1" fillId="0" borderId="42" xfId="51" applyFont="1" applyFill="1" applyBorder="1" applyAlignment="1">
      <alignment horizontal="center" vertical="center"/>
      <protection/>
    </xf>
    <xf numFmtId="2" fontId="1" fillId="25" borderId="20" xfId="51" applyNumberFormat="1" applyFont="1" applyFill="1" applyBorder="1" applyAlignment="1">
      <alignment horizontal="center" vertical="center"/>
      <protection/>
    </xf>
    <xf numFmtId="1" fontId="1" fillId="0" borderId="21" xfId="51" applyNumberFormat="1" applyFont="1" applyFill="1" applyBorder="1" applyAlignment="1">
      <alignment horizontal="center" vertical="center"/>
      <protection/>
    </xf>
    <xf numFmtId="0" fontId="1" fillId="0" borderId="57" xfId="52" applyFont="1" applyFill="1" applyBorder="1" applyAlignment="1">
      <alignment horizontal="center" vertical="center"/>
      <protection/>
    </xf>
    <xf numFmtId="1" fontId="1" fillId="0" borderId="26" xfId="52" applyNumberFormat="1" applyFont="1" applyFill="1" applyBorder="1" applyAlignment="1">
      <alignment horizontal="center" vertical="center"/>
      <protection/>
    </xf>
    <xf numFmtId="1" fontId="1" fillId="0" borderId="60" xfId="52" applyNumberFormat="1" applyFont="1" applyFill="1" applyBorder="1" applyAlignment="1">
      <alignment horizontal="center" vertical="center"/>
      <protection/>
    </xf>
    <xf numFmtId="2" fontId="1" fillId="0" borderId="45" xfId="52" applyNumberFormat="1" applyFont="1" applyBorder="1" applyAlignment="1">
      <alignment horizontal="left" vertical="center"/>
      <protection/>
    </xf>
    <xf numFmtId="2" fontId="1" fillId="25" borderId="48" xfId="51" applyNumberFormat="1" applyFont="1" applyFill="1" applyBorder="1" applyAlignment="1">
      <alignment horizontal="center" vertical="center"/>
      <protection/>
    </xf>
    <xf numFmtId="0" fontId="1" fillId="0" borderId="71" xfId="51" applyFont="1" applyFill="1" applyBorder="1" applyAlignment="1">
      <alignment horizontal="center" vertical="center"/>
      <protection/>
    </xf>
    <xf numFmtId="1" fontId="1" fillId="0" borderId="36" xfId="51" applyNumberFormat="1" applyFont="1" applyFill="1" applyBorder="1" applyAlignment="1">
      <alignment horizontal="center" vertical="center"/>
      <protection/>
    </xf>
    <xf numFmtId="1" fontId="1" fillId="0" borderId="35" xfId="51" applyNumberFormat="1" applyFont="1" applyFill="1" applyBorder="1" applyAlignment="1">
      <alignment horizontal="center" vertical="center"/>
      <protection/>
    </xf>
    <xf numFmtId="2" fontId="1" fillId="0" borderId="62" xfId="51" applyNumberFormat="1" applyFont="1" applyFill="1" applyBorder="1" applyAlignment="1">
      <alignment horizontal="left" vertical="center"/>
      <protection/>
    </xf>
    <xf numFmtId="0" fontId="1" fillId="0" borderId="25" xfId="51" applyFont="1" applyFill="1" applyBorder="1" applyAlignment="1">
      <alignment horizontal="center" vertical="center"/>
      <protection/>
    </xf>
    <xf numFmtId="0" fontId="1" fillId="0" borderId="69" xfId="51" applyFont="1" applyFill="1" applyBorder="1" applyAlignment="1">
      <alignment horizontal="center" vertical="center"/>
      <protection/>
    </xf>
    <xf numFmtId="2" fontId="1" fillId="25" borderId="36" xfId="51" applyNumberFormat="1" applyFont="1" applyFill="1" applyBorder="1" applyAlignment="1">
      <alignment horizontal="center" vertical="center"/>
      <protection/>
    </xf>
    <xf numFmtId="0" fontId="1" fillId="0" borderId="54" xfId="51" applyFont="1" applyFill="1" applyBorder="1" applyAlignment="1">
      <alignment horizontal="center" vertical="center"/>
      <protection/>
    </xf>
    <xf numFmtId="2" fontId="4" fillId="0" borderId="20" xfId="51" applyNumberFormat="1" applyFont="1" applyBorder="1" applyAlignment="1">
      <alignment horizontal="center" vertical="center"/>
      <protection/>
    </xf>
    <xf numFmtId="49" fontId="4" fillId="0" borderId="18" xfId="52" applyNumberFormat="1" applyFont="1" applyFill="1" applyBorder="1" applyAlignment="1">
      <alignment horizontal="center" vertical="center" wrapText="1"/>
      <protection/>
    </xf>
    <xf numFmtId="2" fontId="1" fillId="25" borderId="26" xfId="52" applyNumberFormat="1" applyFont="1" applyFill="1" applyBorder="1" applyAlignment="1">
      <alignment horizontal="center" vertical="center"/>
      <protection/>
    </xf>
    <xf numFmtId="1" fontId="1" fillId="0" borderId="60" xfId="52" applyNumberFormat="1" applyFont="1" applyBorder="1" applyAlignment="1">
      <alignment horizontal="center" vertical="center"/>
      <protection/>
    </xf>
    <xf numFmtId="0" fontId="1" fillId="0" borderId="60" xfId="52" applyFont="1" applyBorder="1" applyAlignment="1">
      <alignment vertical="center"/>
      <protection/>
    </xf>
    <xf numFmtId="2" fontId="1" fillId="25" borderId="24" xfId="52" applyNumberFormat="1" applyFont="1" applyFill="1" applyBorder="1" applyAlignment="1">
      <alignment horizontal="center" vertical="center"/>
      <protection/>
    </xf>
    <xf numFmtId="1" fontId="1" fillId="0" borderId="24" xfId="52" applyNumberFormat="1" applyFont="1" applyFill="1" applyBorder="1" applyAlignment="1">
      <alignment horizontal="center" vertical="center"/>
      <protection/>
    </xf>
    <xf numFmtId="1" fontId="1" fillId="0" borderId="41" xfId="52" applyNumberFormat="1" applyFont="1" applyBorder="1" applyAlignment="1">
      <alignment horizontal="center" vertical="center"/>
      <protection/>
    </xf>
    <xf numFmtId="2" fontId="1" fillId="0" borderId="24" xfId="52" applyNumberFormat="1" applyFont="1" applyBorder="1" applyAlignment="1">
      <alignment horizontal="left" vertical="center"/>
      <protection/>
    </xf>
    <xf numFmtId="0" fontId="36" fillId="0" borderId="28" xfId="52" applyFont="1" applyBorder="1" applyAlignment="1">
      <alignment horizontal="center" vertical="center"/>
      <protection/>
    </xf>
    <xf numFmtId="49" fontId="36" fillId="0" borderId="10" xfId="52" applyNumberFormat="1" applyFont="1" applyBorder="1" applyAlignment="1">
      <alignment horizontal="center" vertical="center"/>
      <protection/>
    </xf>
    <xf numFmtId="0" fontId="38" fillId="0" borderId="10" xfId="52" applyFont="1" applyFill="1" applyBorder="1" applyAlignment="1">
      <alignment horizontal="center" vertical="center"/>
      <protection/>
    </xf>
    <xf numFmtId="0" fontId="38" fillId="0" borderId="30" xfId="52" applyFont="1" applyFill="1" applyBorder="1" applyAlignment="1">
      <alignment vertical="center"/>
      <protection/>
    </xf>
    <xf numFmtId="4" fontId="38" fillId="0" borderId="11" xfId="52" applyNumberFormat="1" applyFont="1" applyFill="1" applyBorder="1" applyAlignment="1">
      <alignment vertical="center"/>
      <protection/>
    </xf>
    <xf numFmtId="0" fontId="4" fillId="0" borderId="39" xfId="52" applyFont="1" applyFill="1" applyBorder="1" applyAlignment="1">
      <alignment horizontal="center" vertical="center"/>
      <protection/>
    </xf>
    <xf numFmtId="0" fontId="1" fillId="0" borderId="54" xfId="52" applyFont="1" applyFill="1" applyBorder="1" applyAlignment="1">
      <alignment horizontal="center" vertical="center"/>
      <protection/>
    </xf>
    <xf numFmtId="1" fontId="1" fillId="0" borderId="20" xfId="52" applyNumberFormat="1" applyFont="1" applyFill="1" applyBorder="1" applyAlignment="1">
      <alignment horizontal="center" vertical="center"/>
      <protection/>
    </xf>
    <xf numFmtId="1" fontId="1" fillId="0" borderId="21" xfId="52" applyNumberFormat="1" applyFont="1" applyBorder="1" applyAlignment="1">
      <alignment horizontal="center" vertical="center"/>
      <protection/>
    </xf>
    <xf numFmtId="2" fontId="1" fillId="0" borderId="20" xfId="52" applyNumberFormat="1" applyFont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1" fontId="4" fillId="0" borderId="18" xfId="51" applyNumberFormat="1" applyFont="1" applyBorder="1" applyAlignment="1">
      <alignment horizontal="center" vertical="center" wrapText="1"/>
      <protection/>
    </xf>
    <xf numFmtId="2" fontId="4" fillId="0" borderId="40" xfId="51" applyNumberFormat="1" applyFont="1" applyFill="1" applyBorder="1" applyAlignment="1">
      <alignment vertical="center" wrapText="1"/>
      <protection/>
    </xf>
    <xf numFmtId="49" fontId="4" fillId="0" borderId="46" xfId="51" applyNumberFormat="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 wrapText="1"/>
      <protection/>
    </xf>
    <xf numFmtId="4" fontId="1" fillId="0" borderId="22" xfId="53" applyNumberFormat="1" applyFont="1" applyFill="1" applyBorder="1" applyAlignment="1">
      <alignment vertical="center"/>
      <protection/>
    </xf>
    <xf numFmtId="171" fontId="8" fillId="0" borderId="18" xfId="0" applyNumberFormat="1" applyFont="1" applyBorder="1" applyAlignment="1">
      <alignment horizontal="right" vertical="center" wrapText="1"/>
    </xf>
    <xf numFmtId="171" fontId="9" fillId="0" borderId="26" xfId="0" applyNumberFormat="1" applyFont="1" applyFill="1" applyBorder="1" applyAlignment="1">
      <alignment horizontal="right" vertical="center" wrapText="1"/>
    </xf>
    <xf numFmtId="171" fontId="9" fillId="0" borderId="36" xfId="0" applyNumberFormat="1" applyFont="1" applyFill="1" applyBorder="1" applyAlignment="1">
      <alignment horizontal="right" vertical="center" wrapText="1"/>
    </xf>
    <xf numFmtId="171" fontId="8" fillId="0" borderId="10" xfId="0" applyNumberFormat="1" applyFont="1" applyBorder="1" applyAlignment="1">
      <alignment horizontal="right" vertical="center" wrapText="1"/>
    </xf>
    <xf numFmtId="49" fontId="36" fillId="0" borderId="46" xfId="51" applyNumberFormat="1" applyFont="1" applyFill="1" applyBorder="1" applyAlignment="1">
      <alignment horizontal="center" vertical="center"/>
      <protection/>
    </xf>
    <xf numFmtId="174" fontId="36" fillId="0" borderId="18" xfId="51" applyNumberFormat="1" applyFont="1" applyFill="1" applyBorder="1" applyAlignment="1">
      <alignment horizontal="center" vertical="center"/>
      <protection/>
    </xf>
    <xf numFmtId="0" fontId="36" fillId="0" borderId="18" xfId="51" applyFont="1" applyFill="1" applyBorder="1" applyAlignment="1">
      <alignment horizontal="center" vertical="center" wrapText="1"/>
      <protection/>
    </xf>
    <xf numFmtId="0" fontId="36" fillId="0" borderId="40" xfId="51" applyFont="1" applyFill="1" applyBorder="1" applyAlignment="1">
      <alignment vertical="center"/>
      <protection/>
    </xf>
    <xf numFmtId="4" fontId="36" fillId="0" borderId="46" xfId="49" applyNumberFormat="1" applyFont="1" applyFill="1" applyBorder="1" applyAlignment="1">
      <alignment vertical="center" wrapText="1"/>
      <protection/>
    </xf>
    <xf numFmtId="4" fontId="1" fillId="0" borderId="27" xfId="49" applyNumberFormat="1" applyFont="1" applyBorder="1" applyAlignment="1">
      <alignment vertical="center"/>
      <protection/>
    </xf>
    <xf numFmtId="4" fontId="1" fillId="0" borderId="56" xfId="51" applyNumberFormat="1" applyFont="1" applyFill="1" applyBorder="1" applyAlignment="1">
      <alignment vertical="center"/>
      <protection/>
    </xf>
    <xf numFmtId="171" fontId="4" fillId="0" borderId="46" xfId="52" applyNumberFormat="1" applyFont="1" applyFill="1" applyBorder="1" applyAlignment="1">
      <alignment vertical="center" wrapText="1"/>
      <protection/>
    </xf>
    <xf numFmtId="171" fontId="1" fillId="0" borderId="22" xfId="52" applyNumberFormat="1" applyFont="1" applyFill="1" applyBorder="1" applyAlignment="1">
      <alignment vertical="center"/>
      <protection/>
    </xf>
    <xf numFmtId="171" fontId="36" fillId="0" borderId="19" xfId="49" applyNumberFormat="1" applyFont="1" applyFill="1" applyBorder="1" applyAlignment="1">
      <alignment vertical="center" wrapText="1"/>
      <protection/>
    </xf>
    <xf numFmtId="171" fontId="1" fillId="0" borderId="14" xfId="51" applyNumberFormat="1" applyFont="1" applyFill="1" applyBorder="1" applyAlignment="1">
      <alignment vertical="center"/>
      <protection/>
    </xf>
    <xf numFmtId="171" fontId="4" fillId="0" borderId="11" xfId="51" applyNumberFormat="1" applyFont="1" applyFill="1" applyBorder="1" applyAlignment="1">
      <alignment vertical="center"/>
      <protection/>
    </xf>
    <xf numFmtId="171" fontId="8" fillId="0" borderId="26" xfId="0" applyNumberFormat="1" applyFont="1" applyFill="1" applyBorder="1" applyAlignment="1">
      <alignment horizontal="right" vertical="center" wrapText="1"/>
    </xf>
    <xf numFmtId="171" fontId="9" fillId="0" borderId="26" xfId="0" applyNumberFormat="1" applyFont="1" applyBorder="1" applyAlignment="1">
      <alignment horizontal="right" vertical="center" wrapText="1"/>
    </xf>
    <xf numFmtId="171" fontId="8" fillId="0" borderId="26" xfId="0" applyNumberFormat="1" applyFont="1" applyBorder="1" applyAlignment="1">
      <alignment horizontal="right" vertical="center" wrapText="1"/>
    </xf>
    <xf numFmtId="171" fontId="8" fillId="0" borderId="26" xfId="0" applyNumberFormat="1" applyFont="1" applyBorder="1" applyAlignment="1">
      <alignment horizontal="right" vertical="center" wrapText="1"/>
    </xf>
    <xf numFmtId="171" fontId="9" fillId="0" borderId="26" xfId="0" applyNumberFormat="1" applyFont="1" applyBorder="1" applyAlignment="1">
      <alignment horizontal="right" vertical="center" wrapText="1"/>
    </xf>
    <xf numFmtId="171" fontId="8" fillId="0" borderId="30" xfId="0" applyNumberFormat="1" applyFont="1" applyBorder="1" applyAlignment="1">
      <alignment horizontal="right" vertical="center" wrapText="1"/>
    </xf>
    <xf numFmtId="171" fontId="4" fillId="0" borderId="39" xfId="51" applyNumberFormat="1" applyFont="1" applyFill="1" applyBorder="1" applyAlignment="1">
      <alignment vertical="center"/>
      <protection/>
    </xf>
    <xf numFmtId="171" fontId="1" fillId="0" borderId="13" xfId="51" applyNumberFormat="1" applyFont="1" applyFill="1" applyBorder="1" applyAlignment="1">
      <alignment vertical="center"/>
      <protection/>
    </xf>
    <xf numFmtId="171" fontId="1" fillId="0" borderId="42" xfId="51" applyNumberFormat="1" applyFont="1" applyFill="1" applyBorder="1" applyAlignment="1">
      <alignment vertical="center"/>
      <protection/>
    </xf>
    <xf numFmtId="171" fontId="4" fillId="0" borderId="28" xfId="51" applyNumberFormat="1" applyFont="1" applyFill="1" applyBorder="1" applyAlignment="1">
      <alignment vertical="center"/>
      <protection/>
    </xf>
    <xf numFmtId="171" fontId="4" fillId="24" borderId="11" xfId="52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31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3" xfId="51" applyFont="1" applyFill="1" applyBorder="1" applyAlignment="1">
      <alignment horizontal="center" vertical="center"/>
      <protection/>
    </xf>
    <xf numFmtId="0" fontId="4" fillId="0" borderId="74" xfId="51" applyFont="1" applyFill="1" applyBorder="1" applyAlignment="1">
      <alignment horizontal="center" vertical="center"/>
      <protection/>
    </xf>
    <xf numFmtId="0" fontId="4" fillId="0" borderId="75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49" fontId="4" fillId="0" borderId="65" xfId="51" applyNumberFormat="1" applyFont="1" applyFill="1" applyBorder="1" applyAlignment="1">
      <alignment horizontal="center" vertical="center"/>
      <protection/>
    </xf>
    <xf numFmtId="49" fontId="4" fillId="0" borderId="27" xfId="51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32" xfId="51" applyFont="1" applyFill="1" applyBorder="1" applyAlignment="1">
      <alignment horizontal="center" vertical="center"/>
      <protection/>
    </xf>
    <xf numFmtId="0" fontId="4" fillId="0" borderId="33" xfId="51" applyFont="1" applyFill="1" applyBorder="1" applyAlignment="1">
      <alignment horizontal="center" vertical="center"/>
      <protection/>
    </xf>
    <xf numFmtId="2" fontId="4" fillId="0" borderId="76" xfId="51" applyNumberFormat="1" applyFont="1" applyBorder="1" applyAlignment="1">
      <alignment horizontal="center" vertical="center"/>
      <protection/>
    </xf>
    <xf numFmtId="2" fontId="4" fillId="0" borderId="77" xfId="51" applyNumberFormat="1" applyFont="1" applyBorder="1" applyAlignment="1">
      <alignment horizontal="center" vertical="center"/>
      <protection/>
    </xf>
    <xf numFmtId="2" fontId="4" fillId="0" borderId="54" xfId="51" applyNumberFormat="1" applyFont="1" applyBorder="1" applyAlignment="1">
      <alignment horizontal="center" vertical="center"/>
      <protection/>
    </xf>
    <xf numFmtId="2" fontId="4" fillId="0" borderId="66" xfId="51" applyNumberFormat="1" applyFont="1" applyBorder="1" applyAlignment="1">
      <alignment horizontal="center" vertical="center"/>
      <protection/>
    </xf>
    <xf numFmtId="2" fontId="4" fillId="0" borderId="24" xfId="51" applyNumberFormat="1" applyFont="1" applyBorder="1" applyAlignment="1">
      <alignment horizontal="center" vertical="center"/>
      <protection/>
    </xf>
    <xf numFmtId="2" fontId="4" fillId="0" borderId="66" xfId="51" applyNumberFormat="1" applyFont="1" applyFill="1" applyBorder="1" applyAlignment="1">
      <alignment horizontal="center" vertical="center"/>
      <protection/>
    </xf>
    <xf numFmtId="2" fontId="4" fillId="0" borderId="24" xfId="51" applyNumberFormat="1" applyFont="1" applyFill="1" applyBorder="1" applyAlignment="1">
      <alignment horizontal="center" vertical="center"/>
      <protection/>
    </xf>
    <xf numFmtId="0" fontId="1" fillId="0" borderId="72" xfId="51" applyFont="1" applyBorder="1" applyAlignment="1">
      <alignment horizontal="center" vertical="center" textRotation="90" wrapText="1"/>
      <protection/>
    </xf>
    <xf numFmtId="0" fontId="1" fillId="0" borderId="15" xfId="51" applyFont="1" applyBorder="1" applyAlignment="1">
      <alignment horizontal="center" vertical="center" textRotation="90" wrapText="1"/>
      <protection/>
    </xf>
    <xf numFmtId="0" fontId="1" fillId="0" borderId="14" xfId="51" applyFont="1" applyBorder="1" applyAlignment="1">
      <alignment horizontal="center" vertical="center" textRotation="90" wrapText="1"/>
      <protection/>
    </xf>
    <xf numFmtId="2" fontId="4" fillId="0" borderId="67" xfId="51" applyNumberFormat="1" applyFont="1" applyFill="1" applyBorder="1" applyAlignment="1">
      <alignment horizontal="center" vertical="center"/>
      <protection/>
    </xf>
    <xf numFmtId="2" fontId="4" fillId="0" borderId="41" xfId="51" applyNumberFormat="1" applyFont="1" applyFill="1" applyBorder="1" applyAlignment="1">
      <alignment horizontal="center" vertical="center"/>
      <protection/>
    </xf>
    <xf numFmtId="0" fontId="4" fillId="0" borderId="65" xfId="51" applyFont="1" applyFill="1" applyBorder="1" applyAlignment="1">
      <alignment horizontal="center" vertical="center"/>
      <protection/>
    </xf>
    <xf numFmtId="0" fontId="4" fillId="0" borderId="27" xfId="51" applyFont="1" applyFill="1" applyBorder="1" applyAlignment="1">
      <alignment horizontal="center" vertical="center"/>
      <protection/>
    </xf>
    <xf numFmtId="0" fontId="4" fillId="0" borderId="72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Kapitola 924" xfId="50"/>
    <cellStyle name="normální_Rozpis výdajů 03 bez PO 2" xfId="51"/>
    <cellStyle name="normální_Rozpis výdajů 03 bez PO 2 2" xfId="52"/>
    <cellStyle name="normální_Rozpis výdajů 03 bez PO_06 - OD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3"/>
  <sheetViews>
    <sheetView zoomScalePageLayoutView="0" workbookViewId="0" topLeftCell="A1">
      <selection activeCell="I15" sqref="I15:I16"/>
    </sheetView>
  </sheetViews>
  <sheetFormatPr defaultColWidth="9.140625" defaultRowHeight="12.75"/>
  <cols>
    <col min="1" max="1" width="37.8515625" style="174" customWidth="1"/>
    <col min="2" max="2" width="7.421875" style="174" customWidth="1"/>
    <col min="3" max="4" width="12.8515625" style="174" customWidth="1"/>
    <col min="5" max="6" width="13.140625" style="174" bestFit="1" customWidth="1"/>
    <col min="7" max="16384" width="9.140625" style="174" customWidth="1"/>
  </cols>
  <sheetData>
    <row r="1" spans="1:6" ht="20.25">
      <c r="A1" s="427" t="s">
        <v>141</v>
      </c>
      <c r="B1" s="427"/>
      <c r="C1" s="427"/>
      <c r="D1" s="427"/>
      <c r="E1" s="427"/>
      <c r="F1" s="427"/>
    </row>
    <row r="2" ht="18" customHeight="1"/>
    <row r="3" spans="1:6" ht="16.5" customHeight="1">
      <c r="A3" s="428" t="s">
        <v>46</v>
      </c>
      <c r="B3" s="428"/>
      <c r="C3" s="428"/>
      <c r="D3" s="428"/>
      <c r="E3" s="428"/>
      <c r="F3" s="428"/>
    </row>
    <row r="4" ht="12.75" customHeight="1" thickBot="1"/>
    <row r="5" spans="1:6" ht="15" thickBot="1">
      <c r="A5" s="175" t="s">
        <v>152</v>
      </c>
      <c r="B5" s="176" t="s">
        <v>1</v>
      </c>
      <c r="C5" s="177" t="s">
        <v>99</v>
      </c>
      <c r="D5" s="178" t="s">
        <v>100</v>
      </c>
      <c r="E5" s="177" t="s">
        <v>0</v>
      </c>
      <c r="F5" s="179" t="s">
        <v>101</v>
      </c>
    </row>
    <row r="6" spans="1:6" ht="16.5" customHeight="1">
      <c r="A6" s="180" t="s">
        <v>142</v>
      </c>
      <c r="B6" s="181" t="s">
        <v>23</v>
      </c>
      <c r="C6" s="182">
        <f>C7+C8+C9</f>
        <v>2179932</v>
      </c>
      <c r="D6" s="183">
        <f>D7+D8+D9</f>
        <v>2427945.0799999996</v>
      </c>
      <c r="E6" s="400">
        <f>SUM(E7:E9)</f>
        <v>8163.141</v>
      </c>
      <c r="F6" s="184">
        <f>SUM(F7:F9)</f>
        <v>2436108.221</v>
      </c>
    </row>
    <row r="7" spans="1:6" ht="15" customHeight="1">
      <c r="A7" s="185" t="s">
        <v>8</v>
      </c>
      <c r="B7" s="186" t="s">
        <v>9</v>
      </c>
      <c r="C7" s="187">
        <v>2122000</v>
      </c>
      <c r="D7" s="102">
        <v>2204786.63</v>
      </c>
      <c r="E7" s="401"/>
      <c r="F7" s="188">
        <f aca="true" t="shared" si="0" ref="F7:F23">D7+E7</f>
        <v>2204786.63</v>
      </c>
    </row>
    <row r="8" spans="1:6" ht="15">
      <c r="A8" s="185" t="s">
        <v>10</v>
      </c>
      <c r="B8" s="186" t="s">
        <v>11</v>
      </c>
      <c r="C8" s="187">
        <v>57932</v>
      </c>
      <c r="D8" s="102">
        <v>209187.69</v>
      </c>
      <c r="E8" s="401">
        <f>'příjmy OD'!J12</f>
        <v>8163.141</v>
      </c>
      <c r="F8" s="188">
        <f t="shared" si="0"/>
        <v>217350.831</v>
      </c>
    </row>
    <row r="9" spans="1:6" ht="15">
      <c r="A9" s="185" t="s">
        <v>143</v>
      </c>
      <c r="B9" s="186" t="s">
        <v>12</v>
      </c>
      <c r="C9" s="187">
        <v>0</v>
      </c>
      <c r="D9" s="102">
        <v>13970.76</v>
      </c>
      <c r="E9" s="401"/>
      <c r="F9" s="188">
        <f t="shared" si="0"/>
        <v>13970.76</v>
      </c>
    </row>
    <row r="10" spans="1:6" ht="15">
      <c r="A10" s="189" t="s">
        <v>144</v>
      </c>
      <c r="B10" s="186" t="s">
        <v>13</v>
      </c>
      <c r="C10" s="190">
        <f>C11+C16</f>
        <v>85842</v>
      </c>
      <c r="D10" s="103">
        <f>D11+D16</f>
        <v>4284523.93</v>
      </c>
      <c r="E10" s="416">
        <f>E11+E16</f>
        <v>0</v>
      </c>
      <c r="F10" s="191">
        <f>F11+F16</f>
        <v>4284523.93</v>
      </c>
    </row>
    <row r="11" spans="1:6" ht="15">
      <c r="A11" s="192" t="s">
        <v>48</v>
      </c>
      <c r="B11" s="186" t="s">
        <v>14</v>
      </c>
      <c r="C11" s="187">
        <f>SUM(C12:C15)</f>
        <v>85842</v>
      </c>
      <c r="D11" s="102">
        <f>SUM(D12:D15)</f>
        <v>4164690.1399999997</v>
      </c>
      <c r="E11" s="417">
        <f>SUM(E12:E15)</f>
        <v>0</v>
      </c>
      <c r="F11" s="188">
        <f>SUM(F12:F15)</f>
        <v>4164690.1399999997</v>
      </c>
    </row>
    <row r="12" spans="1:6" ht="15">
      <c r="A12" s="192" t="s">
        <v>147</v>
      </c>
      <c r="B12" s="186" t="s">
        <v>15</v>
      </c>
      <c r="C12" s="193">
        <v>61072</v>
      </c>
      <c r="D12" s="102">
        <v>61072</v>
      </c>
      <c r="E12" s="401"/>
      <c r="F12" s="188">
        <f t="shared" si="0"/>
        <v>61072</v>
      </c>
    </row>
    <row r="13" spans="1:6" ht="15">
      <c r="A13" s="192" t="s">
        <v>49</v>
      </c>
      <c r="B13" s="186" t="s">
        <v>14</v>
      </c>
      <c r="C13" s="193">
        <v>0</v>
      </c>
      <c r="D13" s="102">
        <v>4068983.29</v>
      </c>
      <c r="E13" s="401"/>
      <c r="F13" s="188">
        <f>D13+E13</f>
        <v>4068983.29</v>
      </c>
    </row>
    <row r="14" spans="1:6" ht="15">
      <c r="A14" s="192" t="s">
        <v>55</v>
      </c>
      <c r="B14" s="186" t="s">
        <v>56</v>
      </c>
      <c r="C14" s="193">
        <v>0</v>
      </c>
      <c r="D14" s="102">
        <v>8808.779999999999</v>
      </c>
      <c r="E14" s="401"/>
      <c r="F14" s="188">
        <f>D14+E14</f>
        <v>8808.779999999999</v>
      </c>
    </row>
    <row r="15" spans="1:6" ht="15">
      <c r="A15" s="192" t="s">
        <v>50</v>
      </c>
      <c r="B15" s="186">
        <v>4121</v>
      </c>
      <c r="C15" s="193">
        <v>24770</v>
      </c>
      <c r="D15" s="102">
        <v>25826.07</v>
      </c>
      <c r="E15" s="401"/>
      <c r="F15" s="188">
        <f t="shared" si="0"/>
        <v>25826.07</v>
      </c>
    </row>
    <row r="16" spans="1:6" ht="15">
      <c r="A16" s="185" t="s">
        <v>145</v>
      </c>
      <c r="B16" s="186" t="s">
        <v>16</v>
      </c>
      <c r="C16" s="193">
        <f>SUM(C17:C19)</f>
        <v>0</v>
      </c>
      <c r="D16" s="102">
        <f>SUM(D17:D19)</f>
        <v>119833.79000000001</v>
      </c>
      <c r="E16" s="417">
        <f>SUM(E17:E19)</f>
        <v>0</v>
      </c>
      <c r="F16" s="188">
        <f>SUM(F17:F19)</f>
        <v>119833.79000000001</v>
      </c>
    </row>
    <row r="17" spans="1:6" ht="15">
      <c r="A17" s="185" t="s">
        <v>146</v>
      </c>
      <c r="B17" s="186" t="s">
        <v>16</v>
      </c>
      <c r="C17" s="193">
        <v>0</v>
      </c>
      <c r="D17" s="102">
        <v>115195.58</v>
      </c>
      <c r="E17" s="401"/>
      <c r="F17" s="188">
        <f t="shared" si="0"/>
        <v>115195.58</v>
      </c>
    </row>
    <row r="18" spans="1:6" ht="15">
      <c r="A18" s="192" t="s">
        <v>54</v>
      </c>
      <c r="B18" s="186">
        <v>4221</v>
      </c>
      <c r="C18" s="193">
        <v>0</v>
      </c>
      <c r="D18" s="102">
        <v>3738</v>
      </c>
      <c r="E18" s="401"/>
      <c r="F18" s="188">
        <f>D18+E18</f>
        <v>3738</v>
      </c>
    </row>
    <row r="19" spans="1:6" ht="15">
      <c r="A19" s="192" t="s">
        <v>57</v>
      </c>
      <c r="B19" s="186">
        <v>4232</v>
      </c>
      <c r="C19" s="193">
        <v>0</v>
      </c>
      <c r="D19" s="102">
        <v>900.21</v>
      </c>
      <c r="E19" s="401"/>
      <c r="F19" s="188">
        <f>D19+E19</f>
        <v>900.21</v>
      </c>
    </row>
    <row r="20" spans="1:6" ht="14.25">
      <c r="A20" s="189" t="s">
        <v>148</v>
      </c>
      <c r="B20" s="194" t="s">
        <v>24</v>
      </c>
      <c r="C20" s="190">
        <f>C6+C10</f>
        <v>2265774</v>
      </c>
      <c r="D20" s="103">
        <f>D6+D10</f>
        <v>6712469.01</v>
      </c>
      <c r="E20" s="418">
        <f>E6+E10</f>
        <v>8163.141</v>
      </c>
      <c r="F20" s="191">
        <f>F6+F10</f>
        <v>6720632.151</v>
      </c>
    </row>
    <row r="21" spans="1:6" ht="14.25">
      <c r="A21" s="189" t="s">
        <v>17</v>
      </c>
      <c r="B21" s="194" t="s">
        <v>18</v>
      </c>
      <c r="C21" s="190">
        <f>SUM(C22:C26)</f>
        <v>-96875</v>
      </c>
      <c r="D21" s="103">
        <f>SUM(D22:D26)</f>
        <v>1072090.47</v>
      </c>
      <c r="E21" s="418">
        <f>SUM(E22:E26)</f>
        <v>0</v>
      </c>
      <c r="F21" s="195">
        <f>SUM(F22:F26)</f>
        <v>1072090.47</v>
      </c>
    </row>
    <row r="22" spans="1:6" ht="15">
      <c r="A22" s="192" t="s">
        <v>118</v>
      </c>
      <c r="B22" s="186" t="s">
        <v>19</v>
      </c>
      <c r="C22" s="193">
        <v>0</v>
      </c>
      <c r="D22" s="102">
        <v>88242.1</v>
      </c>
      <c r="E22" s="419"/>
      <c r="F22" s="188">
        <f t="shared" si="0"/>
        <v>88242.1</v>
      </c>
    </row>
    <row r="23" spans="1:6" ht="15">
      <c r="A23" s="192" t="s">
        <v>149</v>
      </c>
      <c r="B23" s="186" t="s">
        <v>19</v>
      </c>
      <c r="C23" s="193">
        <v>0</v>
      </c>
      <c r="D23" s="102">
        <v>202563.47</v>
      </c>
      <c r="E23" s="420"/>
      <c r="F23" s="188">
        <f t="shared" si="0"/>
        <v>202563.47</v>
      </c>
    </row>
    <row r="24" spans="1:6" ht="15">
      <c r="A24" s="192" t="s">
        <v>150</v>
      </c>
      <c r="B24" s="186" t="s">
        <v>19</v>
      </c>
      <c r="C24" s="193">
        <v>0</v>
      </c>
      <c r="D24" s="102">
        <v>878159.9</v>
      </c>
      <c r="E24" s="420"/>
      <c r="F24" s="188">
        <f>D24+E24</f>
        <v>878159.9</v>
      </c>
    </row>
    <row r="25" spans="1:6" ht="15">
      <c r="A25" s="192" t="s">
        <v>51</v>
      </c>
      <c r="B25" s="186" t="s">
        <v>52</v>
      </c>
      <c r="C25" s="193">
        <v>0</v>
      </c>
      <c r="D25" s="102">
        <v>0</v>
      </c>
      <c r="E25" s="401"/>
      <c r="F25" s="188">
        <f>D25+E25</f>
        <v>0</v>
      </c>
    </row>
    <row r="26" spans="1:6" ht="15.75" thickBot="1">
      <c r="A26" s="192" t="s">
        <v>151</v>
      </c>
      <c r="B26" s="186">
        <v>8124</v>
      </c>
      <c r="C26" s="193">
        <v>-96875</v>
      </c>
      <c r="D26" s="102">
        <v>-96875</v>
      </c>
      <c r="E26" s="420"/>
      <c r="F26" s="188">
        <f>D26+E26</f>
        <v>-96875</v>
      </c>
    </row>
    <row r="27" spans="1:6" ht="15" thickBot="1">
      <c r="A27" s="196" t="s">
        <v>20</v>
      </c>
      <c r="B27" s="197"/>
      <c r="C27" s="198">
        <f>C21+C10+C6</f>
        <v>2168899</v>
      </c>
      <c r="D27" s="199">
        <f>D21+D10+D6</f>
        <v>7784559.479999999</v>
      </c>
      <c r="E27" s="421">
        <f>E6+E10+E21</f>
        <v>8163.141</v>
      </c>
      <c r="F27" s="200">
        <f>D27+E27</f>
        <v>7792722.620999998</v>
      </c>
    </row>
    <row r="29" ht="11.25">
      <c r="E29" s="201"/>
    </row>
    <row r="30" spans="1:6" ht="18.75">
      <c r="A30" s="428" t="s">
        <v>47</v>
      </c>
      <c r="B30" s="428"/>
      <c r="C30" s="428"/>
      <c r="D30" s="428"/>
      <c r="E30" s="428"/>
      <c r="F30" s="428"/>
    </row>
    <row r="31" spans="1:6" ht="12" customHeight="1" thickBot="1">
      <c r="A31" s="20"/>
      <c r="B31" s="20"/>
      <c r="C31" s="20"/>
      <c r="D31" s="202"/>
      <c r="E31" s="20"/>
      <c r="F31" s="20"/>
    </row>
    <row r="32" spans="1:6" ht="15" thickBot="1">
      <c r="A32" s="203" t="s">
        <v>25</v>
      </c>
      <c r="B32" s="178" t="s">
        <v>1</v>
      </c>
      <c r="C32" s="177" t="s">
        <v>99</v>
      </c>
      <c r="D32" s="177" t="s">
        <v>100</v>
      </c>
      <c r="E32" s="177" t="s">
        <v>0</v>
      </c>
      <c r="F32" s="179" t="s">
        <v>101</v>
      </c>
    </row>
    <row r="33" spans="1:6" ht="15">
      <c r="A33" s="204" t="s">
        <v>26</v>
      </c>
      <c r="B33" s="205" t="s">
        <v>27</v>
      </c>
      <c r="C33" s="206">
        <v>30454</v>
      </c>
      <c r="D33" s="206">
        <v>27594</v>
      </c>
      <c r="E33" s="206"/>
      <c r="F33" s="207">
        <f>D33+E33</f>
        <v>27594</v>
      </c>
    </row>
    <row r="34" spans="1:6" ht="15">
      <c r="A34" s="18" t="s">
        <v>28</v>
      </c>
      <c r="B34" s="19" t="s">
        <v>27</v>
      </c>
      <c r="C34" s="102">
        <v>213803.25</v>
      </c>
      <c r="D34" s="102">
        <v>216114.09</v>
      </c>
      <c r="E34" s="206"/>
      <c r="F34" s="207">
        <f>D34+E34</f>
        <v>216114.09</v>
      </c>
    </row>
    <row r="35" spans="1:6" ht="15">
      <c r="A35" s="18" t="s">
        <v>29</v>
      </c>
      <c r="B35" s="19" t="s">
        <v>27</v>
      </c>
      <c r="C35" s="102">
        <v>870010</v>
      </c>
      <c r="D35" s="102">
        <v>880338.01</v>
      </c>
      <c r="E35" s="206"/>
      <c r="F35" s="207">
        <f aca="true" t="shared" si="1" ref="F35:F50">D35+E35</f>
        <v>880338.01</v>
      </c>
    </row>
    <row r="36" spans="1:6" ht="15">
      <c r="A36" s="18" t="s">
        <v>30</v>
      </c>
      <c r="B36" s="19" t="s">
        <v>27</v>
      </c>
      <c r="C36" s="102">
        <v>592559.15</v>
      </c>
      <c r="D36" s="102">
        <v>743477.14</v>
      </c>
      <c r="E36" s="104"/>
      <c r="F36" s="207">
        <f>D36+E36</f>
        <v>743477.14</v>
      </c>
    </row>
    <row r="37" spans="1:6" ht="15">
      <c r="A37" s="18" t="s">
        <v>31</v>
      </c>
      <c r="B37" s="19" t="s">
        <v>27</v>
      </c>
      <c r="C37" s="102">
        <v>0</v>
      </c>
      <c r="D37" s="102">
        <v>3567810.38</v>
      </c>
      <c r="E37" s="104"/>
      <c r="F37" s="207">
        <f>D37+E37</f>
        <v>3567810.38</v>
      </c>
    </row>
    <row r="38" spans="1:6" ht="15">
      <c r="A38" s="18" t="s">
        <v>119</v>
      </c>
      <c r="B38" s="19" t="s">
        <v>27</v>
      </c>
      <c r="C38" s="102">
        <v>40847</v>
      </c>
      <c r="D38" s="102">
        <v>262795.74</v>
      </c>
      <c r="E38" s="104"/>
      <c r="F38" s="207">
        <f>D38+E38</f>
        <v>262795.74</v>
      </c>
    </row>
    <row r="39" spans="1:6" ht="15">
      <c r="A39" s="18" t="s">
        <v>32</v>
      </c>
      <c r="B39" s="19" t="s">
        <v>27</v>
      </c>
      <c r="C39" s="102">
        <v>21210</v>
      </c>
      <c r="D39" s="102">
        <v>19494.15</v>
      </c>
      <c r="E39" s="104"/>
      <c r="F39" s="207">
        <f>D39+E39</f>
        <v>19494.15</v>
      </c>
    </row>
    <row r="40" spans="1:6" ht="15">
      <c r="A40" s="18" t="s">
        <v>33</v>
      </c>
      <c r="B40" s="19" t="s">
        <v>34</v>
      </c>
      <c r="C40" s="102">
        <v>191745</v>
      </c>
      <c r="D40" s="102">
        <v>773163.28</v>
      </c>
      <c r="E40" s="402">
        <f>'92006'!I7</f>
        <v>8163.141</v>
      </c>
      <c r="F40" s="207">
        <f>D40+E40</f>
        <v>781326.421</v>
      </c>
    </row>
    <row r="41" spans="1:6" ht="15">
      <c r="A41" s="18" t="s">
        <v>35</v>
      </c>
      <c r="B41" s="19" t="s">
        <v>34</v>
      </c>
      <c r="C41" s="102">
        <v>0</v>
      </c>
      <c r="D41" s="102">
        <v>0</v>
      </c>
      <c r="E41" s="104"/>
      <c r="F41" s="207">
        <f t="shared" si="1"/>
        <v>0</v>
      </c>
    </row>
    <row r="42" spans="1:6" ht="15">
      <c r="A42" s="18" t="s">
        <v>36</v>
      </c>
      <c r="B42" s="19" t="s">
        <v>37</v>
      </c>
      <c r="C42" s="102">
        <v>142850.6</v>
      </c>
      <c r="D42" s="102">
        <v>1080277.97</v>
      </c>
      <c r="E42" s="104"/>
      <c r="F42" s="207">
        <f t="shared" si="1"/>
        <v>1080277.97</v>
      </c>
    </row>
    <row r="43" spans="1:8" ht="15">
      <c r="A43" s="18" t="s">
        <v>38</v>
      </c>
      <c r="B43" s="19" t="s">
        <v>37</v>
      </c>
      <c r="C43" s="102">
        <v>43995</v>
      </c>
      <c r="D43" s="102">
        <v>43995</v>
      </c>
      <c r="E43" s="206"/>
      <c r="F43" s="207">
        <f t="shared" si="1"/>
        <v>43995</v>
      </c>
      <c r="H43" s="201"/>
    </row>
    <row r="44" spans="1:6" ht="15">
      <c r="A44" s="18" t="s">
        <v>39</v>
      </c>
      <c r="B44" s="19" t="s">
        <v>27</v>
      </c>
      <c r="C44" s="102">
        <v>3425</v>
      </c>
      <c r="D44" s="102">
        <v>5278.1900000000005</v>
      </c>
      <c r="E44" s="206"/>
      <c r="F44" s="207">
        <f t="shared" si="1"/>
        <v>5278.1900000000005</v>
      </c>
    </row>
    <row r="45" spans="1:6" ht="15">
      <c r="A45" s="18" t="s">
        <v>62</v>
      </c>
      <c r="B45" s="19" t="s">
        <v>37</v>
      </c>
      <c r="C45" s="102">
        <v>0</v>
      </c>
      <c r="D45" s="102">
        <v>76881.09</v>
      </c>
      <c r="E45" s="206"/>
      <c r="F45" s="207">
        <f t="shared" si="1"/>
        <v>76881.09</v>
      </c>
    </row>
    <row r="46" spans="1:6" ht="15">
      <c r="A46" s="18" t="s">
        <v>40</v>
      </c>
      <c r="B46" s="19" t="s">
        <v>37</v>
      </c>
      <c r="C46" s="102">
        <v>0</v>
      </c>
      <c r="D46" s="102">
        <v>5500</v>
      </c>
      <c r="E46" s="206"/>
      <c r="F46" s="207">
        <f t="shared" si="1"/>
        <v>5500</v>
      </c>
    </row>
    <row r="47" spans="1:6" ht="15">
      <c r="A47" s="18" t="s">
        <v>41</v>
      </c>
      <c r="B47" s="19" t="s">
        <v>37</v>
      </c>
      <c r="C47" s="102">
        <v>18000</v>
      </c>
      <c r="D47" s="102">
        <v>72712.56</v>
      </c>
      <c r="E47" s="206"/>
      <c r="F47" s="207">
        <f t="shared" si="1"/>
        <v>72712.56</v>
      </c>
    </row>
    <row r="48" spans="1:6" ht="15">
      <c r="A48" s="18" t="s">
        <v>42</v>
      </c>
      <c r="B48" s="19" t="s">
        <v>37</v>
      </c>
      <c r="C48" s="102">
        <v>0</v>
      </c>
      <c r="D48" s="102">
        <v>4006.28</v>
      </c>
      <c r="E48" s="206"/>
      <c r="F48" s="207">
        <f t="shared" si="1"/>
        <v>4006.28</v>
      </c>
    </row>
    <row r="49" spans="1:6" ht="15">
      <c r="A49" s="18" t="s">
        <v>43</v>
      </c>
      <c r="B49" s="19" t="s">
        <v>37</v>
      </c>
      <c r="C49" s="102">
        <v>0</v>
      </c>
      <c r="D49" s="102">
        <v>121.6</v>
      </c>
      <c r="E49" s="206"/>
      <c r="F49" s="207">
        <f t="shared" si="1"/>
        <v>121.6</v>
      </c>
    </row>
    <row r="50" spans="1:6" ht="15.75" thickBot="1">
      <c r="A50" s="208" t="s">
        <v>44</v>
      </c>
      <c r="B50" s="209" t="s">
        <v>37</v>
      </c>
      <c r="C50" s="210">
        <v>0</v>
      </c>
      <c r="D50" s="210">
        <v>0</v>
      </c>
      <c r="E50" s="211"/>
      <c r="F50" s="212">
        <f t="shared" si="1"/>
        <v>0</v>
      </c>
    </row>
    <row r="51" spans="1:6" ht="15" thickBot="1">
      <c r="A51" s="213" t="s">
        <v>45</v>
      </c>
      <c r="B51" s="214"/>
      <c r="C51" s="199">
        <f>SUM(C33:C50)</f>
        <v>2168899</v>
      </c>
      <c r="D51" s="199">
        <f>SUM(D33:D50)</f>
        <v>7779559.48</v>
      </c>
      <c r="E51" s="403">
        <f>SUM(E33:E50)</f>
        <v>8163.141</v>
      </c>
      <c r="F51" s="200">
        <f>SUM(F33:F50)</f>
        <v>7787722.621</v>
      </c>
    </row>
    <row r="53" ht="11.25">
      <c r="E53" s="201"/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66929133858267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65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9" sqref="G19"/>
    </sheetView>
  </sheetViews>
  <sheetFormatPr defaultColWidth="8.8515625" defaultRowHeight="12.75"/>
  <cols>
    <col min="1" max="1" width="4.7109375" style="22" customWidth="1"/>
    <col min="2" max="2" width="3.00390625" style="22" customWidth="1"/>
    <col min="3" max="3" width="9.00390625" style="22" customWidth="1"/>
    <col min="4" max="4" width="4.28125" style="22" customWidth="1"/>
    <col min="5" max="5" width="5.28125" style="22" customWidth="1"/>
    <col min="6" max="6" width="7.421875" style="22" customWidth="1"/>
    <col min="7" max="7" width="41.421875" style="22" customWidth="1"/>
    <col min="8" max="8" width="8.00390625" style="22" customWidth="1"/>
    <col min="9" max="9" width="8.7109375" style="22" customWidth="1"/>
    <col min="10" max="10" width="8.421875" style="22" customWidth="1"/>
    <col min="11" max="11" width="9.00390625" style="22" customWidth="1"/>
    <col min="12" max="16384" width="8.8515625" style="22" customWidth="1"/>
  </cols>
  <sheetData>
    <row r="1" spans="1:11" ht="18">
      <c r="A1" s="432" t="s">
        <v>102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</row>
    <row r="2" spans="1:11" ht="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433" t="s">
        <v>63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</row>
    <row r="4" spans="1:11" ht="13.5" thickBot="1">
      <c r="A4" s="23"/>
      <c r="B4" s="23"/>
      <c r="C4" s="23"/>
      <c r="D4" s="23"/>
      <c r="E4" s="23"/>
      <c r="F4" s="23"/>
      <c r="G4" s="23"/>
      <c r="H4" s="23"/>
      <c r="I4" s="24"/>
      <c r="K4" s="24" t="s">
        <v>58</v>
      </c>
    </row>
    <row r="5" spans="1:11" ht="13.5" thickBot="1">
      <c r="A5" s="442" t="s">
        <v>64</v>
      </c>
      <c r="B5" s="429" t="s">
        <v>3</v>
      </c>
      <c r="C5" s="429" t="s">
        <v>5</v>
      </c>
      <c r="D5" s="429" t="s">
        <v>6</v>
      </c>
      <c r="E5" s="429" t="s">
        <v>7</v>
      </c>
      <c r="F5" s="429" t="s">
        <v>59</v>
      </c>
      <c r="G5" s="438" t="s">
        <v>103</v>
      </c>
      <c r="H5" s="440" t="s">
        <v>99</v>
      </c>
      <c r="I5" s="434" t="s">
        <v>100</v>
      </c>
      <c r="J5" s="436" t="s">
        <v>379</v>
      </c>
      <c r="K5" s="437"/>
    </row>
    <row r="6" spans="1:11" ht="13.5" thickBot="1">
      <c r="A6" s="443"/>
      <c r="B6" s="430"/>
      <c r="C6" s="430"/>
      <c r="D6" s="430"/>
      <c r="E6" s="430"/>
      <c r="F6" s="431"/>
      <c r="G6" s="439"/>
      <c r="H6" s="441"/>
      <c r="I6" s="435"/>
      <c r="J6" s="25" t="s">
        <v>21</v>
      </c>
      <c r="K6" s="26" t="s">
        <v>101</v>
      </c>
    </row>
    <row r="7" spans="1:256" ht="13.5" thickBot="1">
      <c r="A7" s="27" t="s">
        <v>2</v>
      </c>
      <c r="B7" s="28" t="s">
        <v>4</v>
      </c>
      <c r="C7" s="29" t="s">
        <v>2</v>
      </c>
      <c r="D7" s="1" t="s">
        <v>2</v>
      </c>
      <c r="E7" s="1" t="s">
        <v>2</v>
      </c>
      <c r="F7" s="30"/>
      <c r="G7" s="31" t="s">
        <v>65</v>
      </c>
      <c r="H7" s="3">
        <f>H8+H12+H39+H42+H59</f>
        <v>29930</v>
      </c>
      <c r="I7" s="2">
        <f>I8+I12+I39+I42+I59</f>
        <v>409527.78193</v>
      </c>
      <c r="J7" s="415">
        <f>J8+J12+J39+J42+J59</f>
        <v>8163.141</v>
      </c>
      <c r="K7" s="2">
        <f>K8+K12+K39+K42+K59</f>
        <v>417690.92293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3.5" thickBot="1">
      <c r="A8" s="248" t="s">
        <v>2</v>
      </c>
      <c r="B8" s="249" t="s">
        <v>4</v>
      </c>
      <c r="C8" s="250" t="s">
        <v>2</v>
      </c>
      <c r="D8" s="251" t="s">
        <v>2</v>
      </c>
      <c r="E8" s="251" t="s">
        <v>9</v>
      </c>
      <c r="F8" s="252"/>
      <c r="G8" s="253" t="s">
        <v>66</v>
      </c>
      <c r="H8" s="109">
        <f>H9+H10+H11</f>
        <v>160</v>
      </c>
      <c r="I8" s="110">
        <f>I9+I10+I11</f>
        <v>588.95</v>
      </c>
      <c r="J8" s="111">
        <f>J9+J10+J11</f>
        <v>0</v>
      </c>
      <c r="K8" s="112">
        <f>K9+K10+K11</f>
        <v>588.95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12.75">
      <c r="A9" s="113" t="s">
        <v>67</v>
      </c>
      <c r="B9" s="114" t="s">
        <v>22</v>
      </c>
      <c r="C9" s="115" t="s">
        <v>2</v>
      </c>
      <c r="D9" s="114" t="s">
        <v>2</v>
      </c>
      <c r="E9" s="116">
        <v>1353</v>
      </c>
      <c r="F9" s="117"/>
      <c r="G9" s="118" t="s">
        <v>130</v>
      </c>
      <c r="H9" s="119">
        <v>0</v>
      </c>
      <c r="I9" s="120">
        <v>10</v>
      </c>
      <c r="J9" s="120"/>
      <c r="K9" s="121">
        <f>I9+J9</f>
        <v>10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12.75">
      <c r="A10" s="230" t="s">
        <v>67</v>
      </c>
      <c r="B10" s="46" t="s">
        <v>22</v>
      </c>
      <c r="C10" s="254" t="s">
        <v>2</v>
      </c>
      <c r="D10" s="46" t="s">
        <v>2</v>
      </c>
      <c r="E10" s="47">
        <v>1354</v>
      </c>
      <c r="F10" s="233"/>
      <c r="G10" s="255" t="s">
        <v>104</v>
      </c>
      <c r="H10" s="256">
        <v>0</v>
      </c>
      <c r="I10" s="234">
        <f>198+53.4+123.6</f>
        <v>375</v>
      </c>
      <c r="J10" s="276"/>
      <c r="K10" s="106">
        <f>I10+J10</f>
        <v>375</v>
      </c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pans="1:256" ht="13.5" thickBot="1">
      <c r="A11" s="43" t="s">
        <v>67</v>
      </c>
      <c r="B11" s="44" t="s">
        <v>22</v>
      </c>
      <c r="C11" s="45" t="s">
        <v>2</v>
      </c>
      <c r="D11" s="46" t="s">
        <v>2</v>
      </c>
      <c r="E11" s="47">
        <v>1361</v>
      </c>
      <c r="F11" s="48"/>
      <c r="G11" s="49" t="s">
        <v>68</v>
      </c>
      <c r="H11" s="50">
        <v>160</v>
      </c>
      <c r="I11" s="51">
        <f>160+43.95</f>
        <v>203.95</v>
      </c>
      <c r="J11" s="274"/>
      <c r="K11" s="6">
        <f>I11+J11</f>
        <v>203.95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13.5" thickBot="1">
      <c r="A12" s="33" t="s">
        <v>2</v>
      </c>
      <c r="B12" s="34" t="s">
        <v>4</v>
      </c>
      <c r="C12" s="35" t="s">
        <v>2</v>
      </c>
      <c r="D12" s="36" t="s">
        <v>2</v>
      </c>
      <c r="E12" s="36" t="s">
        <v>11</v>
      </c>
      <c r="F12" s="37"/>
      <c r="G12" s="38" t="s">
        <v>69</v>
      </c>
      <c r="H12" s="39">
        <f>H13+H14+H16+H17+H18+H20+H22+H24+H26+H28+H29+H30+H35+H37</f>
        <v>5000</v>
      </c>
      <c r="I12" s="110">
        <f>I13+I14+I16+I17+I18+I20+I22+I24+I26+I28+I29+I30+I35+I37</f>
        <v>56595.525</v>
      </c>
      <c r="J12" s="426">
        <f>J13+J14+J16+J17+J18+J20+J22+J24+J26+J28+J29+J30+J35+J37</f>
        <v>8163.141</v>
      </c>
      <c r="K12" s="112">
        <f>K13+K14+K16+K17+K18+K20+K22+K24+K26+K28+K29+K30+K35+K37</f>
        <v>64758.666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13.5" thickBot="1">
      <c r="A13" s="52" t="s">
        <v>67</v>
      </c>
      <c r="B13" s="53" t="s">
        <v>22</v>
      </c>
      <c r="C13" s="54" t="s">
        <v>2</v>
      </c>
      <c r="D13" s="123">
        <v>2229</v>
      </c>
      <c r="E13" s="55">
        <v>2119</v>
      </c>
      <c r="F13" s="56"/>
      <c r="G13" s="57" t="s">
        <v>70</v>
      </c>
      <c r="H13" s="58">
        <v>3000</v>
      </c>
      <c r="I13" s="58">
        <f>3000+1092.847+152.772</f>
        <v>4245.619</v>
      </c>
      <c r="J13" s="247"/>
      <c r="K13" s="59">
        <f>I13+J13</f>
        <v>4245.619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</row>
    <row r="14" spans="1:256" ht="22.5">
      <c r="A14" s="124" t="s">
        <v>67</v>
      </c>
      <c r="B14" s="125" t="s">
        <v>4</v>
      </c>
      <c r="C14" s="126" t="s">
        <v>105</v>
      </c>
      <c r="D14" s="127" t="s">
        <v>2</v>
      </c>
      <c r="E14" s="127" t="s">
        <v>2</v>
      </c>
      <c r="F14" s="127" t="s">
        <v>2</v>
      </c>
      <c r="G14" s="99" t="s">
        <v>106</v>
      </c>
      <c r="H14" s="128">
        <f>SUM(H15:H15)</f>
        <v>0</v>
      </c>
      <c r="I14" s="128">
        <f>SUM(I15:I15)</f>
        <v>19.108</v>
      </c>
      <c r="J14" s="129">
        <f>SUM(J15:J15)</f>
        <v>0</v>
      </c>
      <c r="K14" s="128">
        <f>SUM(K15:K15)</f>
        <v>19.108</v>
      </c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pans="1:256" ht="13.5" thickBot="1">
      <c r="A15" s="130"/>
      <c r="B15" s="131"/>
      <c r="C15" s="132"/>
      <c r="D15" s="133">
        <v>2299</v>
      </c>
      <c r="E15" s="133">
        <v>2211</v>
      </c>
      <c r="F15" s="134"/>
      <c r="G15" s="135" t="s">
        <v>107</v>
      </c>
      <c r="H15" s="136">
        <v>0</v>
      </c>
      <c r="I15" s="218">
        <v>19.108</v>
      </c>
      <c r="J15" s="137"/>
      <c r="K15" s="108">
        <f>I15+J15</f>
        <v>19.108</v>
      </c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</row>
    <row r="16" spans="1:256" ht="13.5" thickBot="1">
      <c r="A16" s="239" t="s">
        <v>67</v>
      </c>
      <c r="B16" s="240" t="s">
        <v>22</v>
      </c>
      <c r="C16" s="241" t="s">
        <v>2</v>
      </c>
      <c r="D16" s="242">
        <v>2299</v>
      </c>
      <c r="E16" s="243">
        <v>2211</v>
      </c>
      <c r="F16" s="244"/>
      <c r="G16" s="245" t="s">
        <v>129</v>
      </c>
      <c r="H16" s="168">
        <v>0</v>
      </c>
      <c r="I16" s="246">
        <v>21</v>
      </c>
      <c r="J16" s="247"/>
      <c r="K16" s="246">
        <f>I16+J16</f>
        <v>21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pans="1:256" ht="13.5" thickBot="1">
      <c r="A17" s="43" t="s">
        <v>67</v>
      </c>
      <c r="B17" s="60" t="s">
        <v>22</v>
      </c>
      <c r="C17" s="61" t="s">
        <v>2</v>
      </c>
      <c r="D17" s="138">
        <v>2299</v>
      </c>
      <c r="E17" s="62">
        <v>2212</v>
      </c>
      <c r="F17" s="63"/>
      <c r="G17" s="64" t="s">
        <v>108</v>
      </c>
      <c r="H17" s="65">
        <v>2000</v>
      </c>
      <c r="I17" s="257">
        <f>2000+600+208.991+741.315+176.469+84.731</f>
        <v>3811.5060000000003</v>
      </c>
      <c r="J17" s="247"/>
      <c r="K17" s="6">
        <f>I17+J17</f>
        <v>3811.5060000000003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23.25" customHeight="1">
      <c r="A18" s="139" t="s">
        <v>109</v>
      </c>
      <c r="B18" s="127" t="s">
        <v>4</v>
      </c>
      <c r="C18" s="140" t="s">
        <v>110</v>
      </c>
      <c r="D18" s="71" t="s">
        <v>2</v>
      </c>
      <c r="E18" s="141" t="s">
        <v>2</v>
      </c>
      <c r="F18" s="71" t="s">
        <v>2</v>
      </c>
      <c r="G18" s="142" t="s">
        <v>111</v>
      </c>
      <c r="H18" s="72">
        <f>SUM(H19:H19)</f>
        <v>0</v>
      </c>
      <c r="I18" s="72">
        <f>SUM(I19:I19)</f>
        <v>8533.57</v>
      </c>
      <c r="J18" s="72">
        <f>SUM(J19:J19)</f>
        <v>0</v>
      </c>
      <c r="K18" s="73">
        <f>SUM(K19:K19)</f>
        <v>8533.57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  <c r="IN18" s="122"/>
      <c r="IO18" s="122"/>
      <c r="IP18" s="122"/>
      <c r="IQ18" s="122"/>
      <c r="IR18" s="122"/>
      <c r="IS18" s="122"/>
      <c r="IT18" s="122"/>
      <c r="IU18" s="122"/>
      <c r="IV18" s="122"/>
    </row>
    <row r="19" spans="1:256" ht="13.5" thickBot="1">
      <c r="A19" s="67"/>
      <c r="B19" s="68"/>
      <c r="C19" s="69"/>
      <c r="D19" s="143">
        <v>2212</v>
      </c>
      <c r="E19" s="62">
        <v>2229</v>
      </c>
      <c r="F19" s="144"/>
      <c r="G19" s="64" t="s">
        <v>71</v>
      </c>
      <c r="H19" s="65">
        <v>0</v>
      </c>
      <c r="I19" s="145">
        <v>8533.57</v>
      </c>
      <c r="J19" s="145"/>
      <c r="K19" s="146">
        <f>I19+J19</f>
        <v>8533.57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2"/>
      <c r="FF19" s="122"/>
      <c r="FG19" s="122"/>
      <c r="FH19" s="122"/>
      <c r="FI19" s="122"/>
      <c r="FJ19" s="122"/>
      <c r="FK19" s="122"/>
      <c r="FL19" s="122"/>
      <c r="FM19" s="122"/>
      <c r="FN19" s="122"/>
      <c r="FO19" s="122"/>
      <c r="FP19" s="122"/>
      <c r="FQ19" s="122"/>
      <c r="FR19" s="122"/>
      <c r="FS19" s="122"/>
      <c r="FT19" s="122"/>
      <c r="FU19" s="122"/>
      <c r="FV19" s="122"/>
      <c r="FW19" s="122"/>
      <c r="FX19" s="122"/>
      <c r="FY19" s="122"/>
      <c r="FZ19" s="122"/>
      <c r="GA19" s="122"/>
      <c r="GB19" s="122"/>
      <c r="GC19" s="122"/>
      <c r="GD19" s="122"/>
      <c r="GE19" s="122"/>
      <c r="GF19" s="122"/>
      <c r="GG19" s="122"/>
      <c r="GH19" s="122"/>
      <c r="GI19" s="122"/>
      <c r="GJ19" s="122"/>
      <c r="GK19" s="122"/>
      <c r="GL19" s="122"/>
      <c r="GM19" s="122"/>
      <c r="GN19" s="122"/>
      <c r="GO19" s="122"/>
      <c r="GP19" s="122"/>
      <c r="GQ19" s="122"/>
      <c r="GR19" s="122"/>
      <c r="GS19" s="122"/>
      <c r="GT19" s="122"/>
      <c r="GU19" s="122"/>
      <c r="GV19" s="122"/>
      <c r="GW19" s="122"/>
      <c r="GX19" s="122"/>
      <c r="GY19" s="122"/>
      <c r="GZ19" s="122"/>
      <c r="HA19" s="122"/>
      <c r="HB19" s="122"/>
      <c r="HC19" s="122"/>
      <c r="HD19" s="122"/>
      <c r="HE19" s="122"/>
      <c r="HF19" s="122"/>
      <c r="HG19" s="122"/>
      <c r="HH19" s="122"/>
      <c r="HI19" s="122"/>
      <c r="HJ19" s="122"/>
      <c r="HK19" s="122"/>
      <c r="HL19" s="122"/>
      <c r="HM19" s="122"/>
      <c r="HN19" s="122"/>
      <c r="HO19" s="122"/>
      <c r="HP19" s="122"/>
      <c r="HQ19" s="122"/>
      <c r="HR19" s="122"/>
      <c r="HS19" s="122"/>
      <c r="HT19" s="122"/>
      <c r="HU19" s="122"/>
      <c r="HV19" s="122"/>
      <c r="HW19" s="122"/>
      <c r="HX19" s="122"/>
      <c r="HY19" s="122"/>
      <c r="HZ19" s="122"/>
      <c r="IA19" s="122"/>
      <c r="IB19" s="122"/>
      <c r="IC19" s="122"/>
      <c r="ID19" s="122"/>
      <c r="IE19" s="122"/>
      <c r="IF19" s="122"/>
      <c r="IG19" s="122"/>
      <c r="IH19" s="122"/>
      <c r="II19" s="122"/>
      <c r="IJ19" s="122"/>
      <c r="IK19" s="122"/>
      <c r="IL19" s="122"/>
      <c r="IM19" s="122"/>
      <c r="IN19" s="122"/>
      <c r="IO19" s="122"/>
      <c r="IP19" s="122"/>
      <c r="IQ19" s="122"/>
      <c r="IR19" s="122"/>
      <c r="IS19" s="122"/>
      <c r="IT19" s="122"/>
      <c r="IU19" s="122"/>
      <c r="IV19" s="122"/>
    </row>
    <row r="20" spans="1:256" ht="22.5">
      <c r="A20" s="397" t="s">
        <v>378</v>
      </c>
      <c r="B20" s="398" t="s">
        <v>4</v>
      </c>
      <c r="C20" s="312" t="s">
        <v>383</v>
      </c>
      <c r="D20" s="172" t="s">
        <v>2</v>
      </c>
      <c r="E20" s="172" t="s">
        <v>2</v>
      </c>
      <c r="F20" s="222" t="s">
        <v>2</v>
      </c>
      <c r="G20" s="396" t="s">
        <v>381</v>
      </c>
      <c r="H20" s="105">
        <f>SUM(H21:H21)</f>
        <v>0</v>
      </c>
      <c r="I20" s="224">
        <f>SUM(I21:I21)</f>
        <v>0</v>
      </c>
      <c r="J20" s="411">
        <f>SUM(J21:J21)</f>
        <v>6544.62</v>
      </c>
      <c r="K20" s="105">
        <f>SUM(K21:K21)</f>
        <v>6544.62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1:256" ht="13.5" thickBot="1">
      <c r="A21" s="67"/>
      <c r="B21" s="68"/>
      <c r="C21" s="69"/>
      <c r="D21" s="138">
        <v>6402</v>
      </c>
      <c r="E21" s="62">
        <v>2229</v>
      </c>
      <c r="F21" s="63"/>
      <c r="G21" s="64" t="s">
        <v>71</v>
      </c>
      <c r="H21" s="145">
        <v>0</v>
      </c>
      <c r="I21" s="399">
        <v>0</v>
      </c>
      <c r="J21" s="412">
        <v>6544.62</v>
      </c>
      <c r="K21" s="108">
        <f>I21+J21</f>
        <v>6544.62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22" spans="1:256" ht="23.25" customHeight="1">
      <c r="A22" s="397" t="s">
        <v>378</v>
      </c>
      <c r="B22" s="398" t="s">
        <v>4</v>
      </c>
      <c r="C22" s="312" t="s">
        <v>376</v>
      </c>
      <c r="D22" s="172" t="s">
        <v>2</v>
      </c>
      <c r="E22" s="172" t="s">
        <v>2</v>
      </c>
      <c r="F22" s="222" t="s">
        <v>2</v>
      </c>
      <c r="G22" s="396" t="s">
        <v>377</v>
      </c>
      <c r="H22" s="105">
        <f>SUM(H23:H23)</f>
        <v>0</v>
      </c>
      <c r="I22" s="224">
        <f>SUM(I23:I23)</f>
        <v>0</v>
      </c>
      <c r="J22" s="411">
        <f>SUM(J23:J23)</f>
        <v>935.182</v>
      </c>
      <c r="K22" s="105">
        <f>SUM(K23:K23)</f>
        <v>935.182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1:256" ht="13.5" thickBot="1">
      <c r="A23" s="67"/>
      <c r="B23" s="68"/>
      <c r="C23" s="69"/>
      <c r="D23" s="138">
        <v>6402</v>
      </c>
      <c r="E23" s="62">
        <v>2229</v>
      </c>
      <c r="F23" s="63"/>
      <c r="G23" s="64" t="s">
        <v>71</v>
      </c>
      <c r="H23" s="145">
        <v>0</v>
      </c>
      <c r="I23" s="399">
        <v>0</v>
      </c>
      <c r="J23" s="412">
        <f>1020.832-85.65</f>
        <v>935.182</v>
      </c>
      <c r="K23" s="108">
        <f>I23+J23</f>
        <v>935.182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</row>
    <row r="24" spans="1:256" ht="13.5" customHeight="1">
      <c r="A24" s="404" t="s">
        <v>75</v>
      </c>
      <c r="B24" s="70" t="s">
        <v>4</v>
      </c>
      <c r="C24" s="405">
        <v>650341601</v>
      </c>
      <c r="D24" s="71" t="s">
        <v>2</v>
      </c>
      <c r="E24" s="406" t="s">
        <v>2</v>
      </c>
      <c r="F24" s="71" t="s">
        <v>2</v>
      </c>
      <c r="G24" s="407" t="s">
        <v>382</v>
      </c>
      <c r="H24" s="72">
        <f>SUM(H25:H25)</f>
        <v>0</v>
      </c>
      <c r="I24" s="408">
        <f>SUM(I25:I25)</f>
        <v>0</v>
      </c>
      <c r="J24" s="413">
        <f>SUM(J25:J25)</f>
        <v>247.42199999999997</v>
      </c>
      <c r="K24" s="73">
        <f>SUM(K25:K25)</f>
        <v>247.42199999999997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</row>
    <row r="25" spans="1:256" ht="13.5" thickBot="1">
      <c r="A25" s="67"/>
      <c r="B25" s="68"/>
      <c r="C25" s="69"/>
      <c r="D25" s="138">
        <v>6402</v>
      </c>
      <c r="E25" s="62">
        <v>2229</v>
      </c>
      <c r="F25" s="63"/>
      <c r="G25" s="64" t="s">
        <v>71</v>
      </c>
      <c r="H25" s="65">
        <v>0</v>
      </c>
      <c r="I25" s="409">
        <v>0</v>
      </c>
      <c r="J25" s="414">
        <f>365.722-118.3</f>
        <v>247.42199999999997</v>
      </c>
      <c r="K25" s="410">
        <f>I25+J25</f>
        <v>247.42199999999997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56" ht="13.5" customHeight="1">
      <c r="A26" s="404" t="s">
        <v>75</v>
      </c>
      <c r="B26" s="70" t="s">
        <v>4</v>
      </c>
      <c r="C26" s="405">
        <v>650541601</v>
      </c>
      <c r="D26" s="71" t="s">
        <v>2</v>
      </c>
      <c r="E26" s="406" t="s">
        <v>2</v>
      </c>
      <c r="F26" s="71" t="s">
        <v>2</v>
      </c>
      <c r="G26" s="407" t="s">
        <v>61</v>
      </c>
      <c r="H26" s="72">
        <f>SUM(H27:H27)</f>
        <v>0</v>
      </c>
      <c r="I26" s="408">
        <f>SUM(I27:I27)</f>
        <v>0</v>
      </c>
      <c r="J26" s="413">
        <f>SUM(J27:J27)</f>
        <v>435.91700000000003</v>
      </c>
      <c r="K26" s="72">
        <f>SUM(K27:K27)</f>
        <v>435.91700000000003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  <row r="27" spans="1:256" ht="13.5" thickBot="1">
      <c r="A27" s="67"/>
      <c r="B27" s="68"/>
      <c r="C27" s="69"/>
      <c r="D27" s="138">
        <v>6402</v>
      </c>
      <c r="E27" s="62">
        <v>2229</v>
      </c>
      <c r="F27" s="63"/>
      <c r="G27" s="64" t="s">
        <v>71</v>
      </c>
      <c r="H27" s="65">
        <v>0</v>
      </c>
      <c r="I27" s="409">
        <v>0</v>
      </c>
      <c r="J27" s="414">
        <f>517.917-82</f>
        <v>435.91700000000003</v>
      </c>
      <c r="K27" s="4">
        <f>I27+J27</f>
        <v>435.91700000000003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</row>
    <row r="28" spans="1:256" ht="13.5" thickBot="1">
      <c r="A28" s="160" t="s">
        <v>67</v>
      </c>
      <c r="B28" s="60" t="s">
        <v>22</v>
      </c>
      <c r="C28" s="61" t="s">
        <v>2</v>
      </c>
      <c r="D28" s="138">
        <v>2223</v>
      </c>
      <c r="E28" s="62">
        <v>2321</v>
      </c>
      <c r="F28" s="63"/>
      <c r="G28" s="64" t="s">
        <v>132</v>
      </c>
      <c r="H28" s="65">
        <v>0</v>
      </c>
      <c r="I28" s="145">
        <v>4.25</v>
      </c>
      <c r="J28" s="171"/>
      <c r="K28" s="145">
        <f>I28+J28</f>
        <v>4.25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ht="13.5" thickBot="1">
      <c r="A29" s="43" t="s">
        <v>67</v>
      </c>
      <c r="B29" s="60" t="s">
        <v>22</v>
      </c>
      <c r="C29" s="61" t="s">
        <v>2</v>
      </c>
      <c r="D29" s="138">
        <v>6172</v>
      </c>
      <c r="E29" s="62">
        <v>2322</v>
      </c>
      <c r="F29" s="63"/>
      <c r="G29" s="64" t="s">
        <v>133</v>
      </c>
      <c r="H29" s="65">
        <v>0</v>
      </c>
      <c r="I29" s="246">
        <f>35.995+1442.167</f>
        <v>1478.1619999999998</v>
      </c>
      <c r="J29" s="247"/>
      <c r="K29" s="246">
        <f>I29+J29</f>
        <v>1478.1619999999998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ht="12.75">
      <c r="A30" s="147" t="s">
        <v>67</v>
      </c>
      <c r="B30" s="74" t="s">
        <v>22</v>
      </c>
      <c r="C30" s="148" t="s">
        <v>2</v>
      </c>
      <c r="D30" s="75" t="s">
        <v>2</v>
      </c>
      <c r="E30" s="76">
        <v>2324</v>
      </c>
      <c r="F30" s="127" t="s">
        <v>2</v>
      </c>
      <c r="G30" s="77" t="s">
        <v>72</v>
      </c>
      <c r="H30" s="149">
        <f>SUM(H31:H34)</f>
        <v>0</v>
      </c>
      <c r="I30" s="72">
        <f>SUM(I31:I34)</f>
        <v>10932.31</v>
      </c>
      <c r="J30" s="72">
        <f>SUM(J31:J34)</f>
        <v>0</v>
      </c>
      <c r="K30" s="73">
        <f>SUM(K31:K34)</f>
        <v>10932.31</v>
      </c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22"/>
      <c r="HC30" s="122"/>
      <c r="HD30" s="122"/>
      <c r="HE30" s="122"/>
      <c r="HF30" s="122"/>
      <c r="HG30" s="122"/>
      <c r="HH30" s="122"/>
      <c r="HI30" s="122"/>
      <c r="HJ30" s="122"/>
      <c r="HK30" s="122"/>
      <c r="HL30" s="122"/>
      <c r="HM30" s="122"/>
      <c r="HN30" s="122"/>
      <c r="HO30" s="122"/>
      <c r="HP30" s="122"/>
      <c r="HQ30" s="122"/>
      <c r="HR30" s="122"/>
      <c r="HS30" s="122"/>
      <c r="HT30" s="122"/>
      <c r="HU30" s="122"/>
      <c r="HV30" s="122"/>
      <c r="HW30" s="122"/>
      <c r="HX30" s="122"/>
      <c r="HY30" s="122"/>
      <c r="HZ30" s="122"/>
      <c r="IA30" s="122"/>
      <c r="IB30" s="122"/>
      <c r="IC30" s="122"/>
      <c r="ID30" s="122"/>
      <c r="IE30" s="122"/>
      <c r="IF30" s="122"/>
      <c r="IG30" s="122"/>
      <c r="IH30" s="122"/>
      <c r="II30" s="122"/>
      <c r="IJ30" s="122"/>
      <c r="IK30" s="122"/>
      <c r="IL30" s="122"/>
      <c r="IM30" s="122"/>
      <c r="IN30" s="122"/>
      <c r="IO30" s="122"/>
      <c r="IP30" s="122"/>
      <c r="IQ30" s="122"/>
      <c r="IR30" s="122"/>
      <c r="IS30" s="122"/>
      <c r="IT30" s="122"/>
      <c r="IU30" s="122"/>
      <c r="IV30" s="150"/>
    </row>
    <row r="31" spans="1:256" ht="12.75">
      <c r="A31" s="151"/>
      <c r="B31" s="53"/>
      <c r="C31" s="152"/>
      <c r="D31" s="153">
        <v>2221</v>
      </c>
      <c r="E31" s="78"/>
      <c r="F31" s="154"/>
      <c r="G31" s="79" t="s">
        <v>73</v>
      </c>
      <c r="H31" s="155">
        <v>0</v>
      </c>
      <c r="I31" s="217">
        <v>6059.498</v>
      </c>
      <c r="J31" s="156"/>
      <c r="K31" s="107">
        <f>I31+J31</f>
        <v>6059.498</v>
      </c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50"/>
    </row>
    <row r="32" spans="1:256" ht="12.75">
      <c r="A32" s="151"/>
      <c r="B32" s="53"/>
      <c r="C32" s="152"/>
      <c r="D32" s="153">
        <v>2223</v>
      </c>
      <c r="E32" s="78"/>
      <c r="F32" s="154"/>
      <c r="G32" s="79" t="s">
        <v>131</v>
      </c>
      <c r="H32" s="155">
        <v>0</v>
      </c>
      <c r="I32" s="107">
        <v>2.769</v>
      </c>
      <c r="J32" s="156"/>
      <c r="K32" s="107">
        <f>I32+J32</f>
        <v>2.769</v>
      </c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2"/>
      <c r="FL32" s="122"/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2"/>
      <c r="GA32" s="122"/>
      <c r="GB32" s="122"/>
      <c r="GC32" s="122"/>
      <c r="GD32" s="122"/>
      <c r="GE32" s="122"/>
      <c r="GF32" s="122"/>
      <c r="GG32" s="122"/>
      <c r="GH32" s="122"/>
      <c r="GI32" s="122"/>
      <c r="GJ32" s="122"/>
      <c r="GK32" s="122"/>
      <c r="GL32" s="122"/>
      <c r="GM32" s="122"/>
      <c r="GN32" s="122"/>
      <c r="GO32" s="122"/>
      <c r="GP32" s="122"/>
      <c r="GQ32" s="122"/>
      <c r="GR32" s="122"/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2"/>
      <c r="HG32" s="122"/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2"/>
      <c r="HV32" s="122"/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2"/>
      <c r="IK32" s="122"/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50"/>
    </row>
    <row r="33" spans="1:256" ht="12.75">
      <c r="A33" s="151"/>
      <c r="B33" s="53"/>
      <c r="C33" s="152"/>
      <c r="D33" s="153">
        <v>2242</v>
      </c>
      <c r="E33" s="78"/>
      <c r="F33" s="154"/>
      <c r="G33" s="79" t="s">
        <v>74</v>
      </c>
      <c r="H33" s="155">
        <v>0</v>
      </c>
      <c r="I33" s="217">
        <v>4731.511</v>
      </c>
      <c r="J33" s="156"/>
      <c r="K33" s="107">
        <f>I33+J33</f>
        <v>4731.511</v>
      </c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  <c r="FH33" s="122"/>
      <c r="FI33" s="122"/>
      <c r="FJ33" s="122"/>
      <c r="FK33" s="122"/>
      <c r="FL33" s="122"/>
      <c r="FM33" s="122"/>
      <c r="FN33" s="122"/>
      <c r="FO33" s="122"/>
      <c r="FP33" s="122"/>
      <c r="FQ33" s="122"/>
      <c r="FR33" s="122"/>
      <c r="FS33" s="122"/>
      <c r="FT33" s="122"/>
      <c r="FU33" s="122"/>
      <c r="FV33" s="122"/>
      <c r="FW33" s="122"/>
      <c r="FX33" s="122"/>
      <c r="FY33" s="122"/>
      <c r="FZ33" s="122"/>
      <c r="GA33" s="122"/>
      <c r="GB33" s="122"/>
      <c r="GC33" s="122"/>
      <c r="GD33" s="122"/>
      <c r="GE33" s="122"/>
      <c r="GF33" s="122"/>
      <c r="GG33" s="122"/>
      <c r="GH33" s="122"/>
      <c r="GI33" s="122"/>
      <c r="GJ33" s="122"/>
      <c r="GK33" s="122"/>
      <c r="GL33" s="122"/>
      <c r="GM33" s="122"/>
      <c r="GN33" s="122"/>
      <c r="GO33" s="122"/>
      <c r="GP33" s="122"/>
      <c r="GQ33" s="122"/>
      <c r="GR33" s="122"/>
      <c r="GS33" s="122"/>
      <c r="GT33" s="122"/>
      <c r="GU33" s="122"/>
      <c r="GV33" s="122"/>
      <c r="GW33" s="122"/>
      <c r="GX33" s="122"/>
      <c r="GY33" s="122"/>
      <c r="GZ33" s="122"/>
      <c r="HA33" s="122"/>
      <c r="HB33" s="122"/>
      <c r="HC33" s="122"/>
      <c r="HD33" s="122"/>
      <c r="HE33" s="122"/>
      <c r="HF33" s="122"/>
      <c r="HG33" s="122"/>
      <c r="HH33" s="122"/>
      <c r="HI33" s="122"/>
      <c r="HJ33" s="122"/>
      <c r="HK33" s="122"/>
      <c r="HL33" s="122"/>
      <c r="HM33" s="122"/>
      <c r="HN33" s="122"/>
      <c r="HO33" s="122"/>
      <c r="HP33" s="122"/>
      <c r="HQ33" s="122"/>
      <c r="HR33" s="122"/>
      <c r="HS33" s="122"/>
      <c r="HT33" s="122"/>
      <c r="HU33" s="122"/>
      <c r="HV33" s="122"/>
      <c r="HW33" s="122"/>
      <c r="HX33" s="122"/>
      <c r="HY33" s="122"/>
      <c r="HZ33" s="122"/>
      <c r="IA33" s="122"/>
      <c r="IB33" s="122"/>
      <c r="IC33" s="122"/>
      <c r="ID33" s="122"/>
      <c r="IE33" s="122"/>
      <c r="IF33" s="122"/>
      <c r="IG33" s="122"/>
      <c r="IH33" s="122"/>
      <c r="II33" s="122"/>
      <c r="IJ33" s="122"/>
      <c r="IK33" s="122"/>
      <c r="IL33" s="122"/>
      <c r="IM33" s="122"/>
      <c r="IN33" s="122"/>
      <c r="IO33" s="122"/>
      <c r="IP33" s="122"/>
      <c r="IQ33" s="122"/>
      <c r="IR33" s="122"/>
      <c r="IS33" s="122"/>
      <c r="IT33" s="122"/>
      <c r="IU33" s="122"/>
      <c r="IV33" s="150"/>
    </row>
    <row r="34" spans="1:256" ht="13.5" thickBot="1">
      <c r="A34" s="230"/>
      <c r="B34" s="231"/>
      <c r="C34" s="232"/>
      <c r="D34" s="235">
        <v>2299</v>
      </c>
      <c r="E34" s="236"/>
      <c r="F34" s="237"/>
      <c r="G34" s="238" t="s">
        <v>128</v>
      </c>
      <c r="H34" s="234">
        <v>0</v>
      </c>
      <c r="I34" s="259">
        <v>138.532</v>
      </c>
      <c r="J34" s="145"/>
      <c r="K34" s="108">
        <f>I34+J34</f>
        <v>138.532</v>
      </c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122"/>
      <c r="IH34" s="122"/>
      <c r="II34" s="122"/>
      <c r="IJ34" s="122"/>
      <c r="IK34" s="122"/>
      <c r="IL34" s="122"/>
      <c r="IM34" s="122"/>
      <c r="IN34" s="122"/>
      <c r="IO34" s="122"/>
      <c r="IP34" s="122"/>
      <c r="IQ34" s="122"/>
      <c r="IR34" s="122"/>
      <c r="IS34" s="122"/>
      <c r="IT34" s="122"/>
      <c r="IU34" s="122"/>
      <c r="IV34" s="150"/>
    </row>
    <row r="35" spans="1:11" ht="12.75" customHeight="1">
      <c r="A35" s="260" t="s">
        <v>67</v>
      </c>
      <c r="B35" s="261" t="s">
        <v>4</v>
      </c>
      <c r="C35" s="262" t="s">
        <v>2</v>
      </c>
      <c r="D35" s="70" t="s">
        <v>2</v>
      </c>
      <c r="E35" s="70" t="s">
        <v>2</v>
      </c>
      <c r="F35" s="70" t="s">
        <v>2</v>
      </c>
      <c r="G35" s="263" t="s">
        <v>134</v>
      </c>
      <c r="H35" s="80">
        <f>SUM(H36:H36)</f>
        <v>0</v>
      </c>
      <c r="I35" s="80">
        <f>SUM(I36:I36)</f>
        <v>6550</v>
      </c>
      <c r="J35" s="268">
        <f>SUM(J36:J36)</f>
        <v>0</v>
      </c>
      <c r="K35" s="80">
        <f>SUM(K36:K36)</f>
        <v>6550</v>
      </c>
    </row>
    <row r="36" spans="1:11" ht="13.5" thickBot="1">
      <c r="A36" s="264"/>
      <c r="B36" s="216"/>
      <c r="C36" s="12"/>
      <c r="D36" s="13">
        <v>2221</v>
      </c>
      <c r="E36" s="13">
        <v>2329</v>
      </c>
      <c r="F36" s="265"/>
      <c r="G36" s="266" t="s">
        <v>135</v>
      </c>
      <c r="H36" s="4">
        <v>0</v>
      </c>
      <c r="I36" s="145">
        <v>6550</v>
      </c>
      <c r="J36" s="145"/>
      <c r="K36" s="4">
        <f>I36+J36</f>
        <v>6550</v>
      </c>
    </row>
    <row r="37" spans="1:256" ht="12.75">
      <c r="A37" s="157" t="s">
        <v>75</v>
      </c>
      <c r="B37" s="148" t="s">
        <v>4</v>
      </c>
      <c r="C37" s="158" t="s">
        <v>112</v>
      </c>
      <c r="D37" s="148" t="s">
        <v>2</v>
      </c>
      <c r="E37" s="148" t="s">
        <v>2</v>
      </c>
      <c r="F37" s="127" t="s">
        <v>2</v>
      </c>
      <c r="G37" s="8" t="s">
        <v>113</v>
      </c>
      <c r="H37" s="159">
        <f>SUM(H38:H38)</f>
        <v>0</v>
      </c>
      <c r="I37" s="128">
        <f>SUM(I38:I38)</f>
        <v>21000</v>
      </c>
      <c r="J37" s="129">
        <f>SUM(J38:J38)</f>
        <v>0</v>
      </c>
      <c r="K37" s="159">
        <f>SUM(K38:K38)</f>
        <v>21000</v>
      </c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2"/>
      <c r="FE37" s="122"/>
      <c r="FF37" s="122"/>
      <c r="FG37" s="122"/>
      <c r="FH37" s="122"/>
      <c r="FI37" s="122"/>
      <c r="FJ37" s="122"/>
      <c r="FK37" s="122"/>
      <c r="FL37" s="122"/>
      <c r="FM37" s="122"/>
      <c r="FN37" s="122"/>
      <c r="FO37" s="122"/>
      <c r="FP37" s="122"/>
      <c r="FQ37" s="122"/>
      <c r="FR37" s="122"/>
      <c r="FS37" s="122"/>
      <c r="FT37" s="122"/>
      <c r="FU37" s="122"/>
      <c r="FV37" s="122"/>
      <c r="FW37" s="122"/>
      <c r="FX37" s="122"/>
      <c r="FY37" s="122"/>
      <c r="FZ37" s="122"/>
      <c r="GA37" s="122"/>
      <c r="GB37" s="122"/>
      <c r="GC37" s="122"/>
      <c r="GD37" s="122"/>
      <c r="GE37" s="122"/>
      <c r="GF37" s="122"/>
      <c r="GG37" s="122"/>
      <c r="GH37" s="122"/>
      <c r="GI37" s="122"/>
      <c r="GJ37" s="122"/>
      <c r="GK37" s="122"/>
      <c r="GL37" s="122"/>
      <c r="GM37" s="122"/>
      <c r="GN37" s="122"/>
      <c r="GO37" s="122"/>
      <c r="GP37" s="122"/>
      <c r="GQ37" s="122"/>
      <c r="GR37" s="122"/>
      <c r="GS37" s="122"/>
      <c r="GT37" s="122"/>
      <c r="GU37" s="122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122"/>
      <c r="HG37" s="122"/>
      <c r="HH37" s="122"/>
      <c r="HI37" s="122"/>
      <c r="HJ37" s="122"/>
      <c r="HK37" s="122"/>
      <c r="HL37" s="122"/>
      <c r="HM37" s="122"/>
      <c r="HN37" s="122"/>
      <c r="HO37" s="122"/>
      <c r="HP37" s="122"/>
      <c r="HQ37" s="122"/>
      <c r="HR37" s="122"/>
      <c r="HS37" s="122"/>
      <c r="HT37" s="122"/>
      <c r="HU37" s="122"/>
      <c r="HV37" s="122"/>
      <c r="HW37" s="122"/>
      <c r="HX37" s="122"/>
      <c r="HY37" s="122"/>
      <c r="HZ37" s="122"/>
      <c r="IA37" s="122"/>
      <c r="IB37" s="122"/>
      <c r="IC37" s="122"/>
      <c r="ID37" s="122"/>
      <c r="IE37" s="122"/>
      <c r="IF37" s="122"/>
      <c r="IG37" s="122"/>
      <c r="IH37" s="122"/>
      <c r="II37" s="122"/>
      <c r="IJ37" s="122"/>
      <c r="IK37" s="122"/>
      <c r="IL37" s="122"/>
      <c r="IM37" s="122"/>
      <c r="IN37" s="122"/>
      <c r="IO37" s="122"/>
      <c r="IP37" s="122"/>
      <c r="IQ37" s="122"/>
      <c r="IR37" s="122"/>
      <c r="IS37" s="122"/>
      <c r="IT37" s="122"/>
      <c r="IU37" s="122"/>
      <c r="IV37" s="122"/>
    </row>
    <row r="38" spans="1:256" ht="23.25" thickBot="1">
      <c r="A38" s="160"/>
      <c r="B38" s="161"/>
      <c r="C38" s="162"/>
      <c r="D38" s="163"/>
      <c r="E38" s="163">
        <v>2451</v>
      </c>
      <c r="F38" s="164"/>
      <c r="G38" s="84" t="s">
        <v>76</v>
      </c>
      <c r="H38" s="145">
        <v>0</v>
      </c>
      <c r="I38" s="165">
        <v>21000</v>
      </c>
      <c r="J38" s="165"/>
      <c r="K38" s="108">
        <f>I38+J38</f>
        <v>21000</v>
      </c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/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2"/>
      <c r="EU38" s="122"/>
      <c r="EV38" s="122"/>
      <c r="EW38" s="122"/>
      <c r="EX38" s="122"/>
      <c r="EY38" s="122"/>
      <c r="EZ38" s="122"/>
      <c r="FA38" s="122"/>
      <c r="FB38" s="122"/>
      <c r="FC38" s="122"/>
      <c r="FD38" s="122"/>
      <c r="FE38" s="122"/>
      <c r="FF38" s="122"/>
      <c r="FG38" s="122"/>
      <c r="FH38" s="122"/>
      <c r="FI38" s="122"/>
      <c r="FJ38" s="122"/>
      <c r="FK38" s="122"/>
      <c r="FL38" s="122"/>
      <c r="FM38" s="122"/>
      <c r="FN38" s="122"/>
      <c r="FO38" s="122"/>
      <c r="FP38" s="122"/>
      <c r="FQ38" s="122"/>
      <c r="FR38" s="122"/>
      <c r="FS38" s="122"/>
      <c r="FT38" s="122"/>
      <c r="FU38" s="122"/>
      <c r="FV38" s="122"/>
      <c r="FW38" s="122"/>
      <c r="FX38" s="122"/>
      <c r="FY38" s="122"/>
      <c r="FZ38" s="122"/>
      <c r="GA38" s="122"/>
      <c r="GB38" s="122"/>
      <c r="GC38" s="122"/>
      <c r="GD38" s="122"/>
      <c r="GE38" s="122"/>
      <c r="GF38" s="122"/>
      <c r="GG38" s="122"/>
      <c r="GH38" s="122"/>
      <c r="GI38" s="122"/>
      <c r="GJ38" s="122"/>
      <c r="GK38" s="122"/>
      <c r="GL38" s="122"/>
      <c r="GM38" s="122"/>
      <c r="GN38" s="122"/>
      <c r="GO38" s="122"/>
      <c r="GP38" s="122"/>
      <c r="GQ38" s="122"/>
      <c r="GR38" s="122"/>
      <c r="GS38" s="122"/>
      <c r="GT38" s="122"/>
      <c r="GU38" s="122"/>
      <c r="GV38" s="122"/>
      <c r="GW38" s="122"/>
      <c r="GX38" s="122"/>
      <c r="GY38" s="122"/>
      <c r="GZ38" s="122"/>
      <c r="HA38" s="122"/>
      <c r="HB38" s="122"/>
      <c r="HC38" s="122"/>
      <c r="HD38" s="122"/>
      <c r="HE38" s="122"/>
      <c r="HF38" s="122"/>
      <c r="HG38" s="122"/>
      <c r="HH38" s="122"/>
      <c r="HI38" s="122"/>
      <c r="HJ38" s="122"/>
      <c r="HK38" s="122"/>
      <c r="HL38" s="122"/>
      <c r="HM38" s="122"/>
      <c r="HN38" s="122"/>
      <c r="HO38" s="122"/>
      <c r="HP38" s="122"/>
      <c r="HQ38" s="122"/>
      <c r="HR38" s="122"/>
      <c r="HS38" s="122"/>
      <c r="HT38" s="122"/>
      <c r="HU38" s="122"/>
      <c r="HV38" s="122"/>
      <c r="HW38" s="122"/>
      <c r="HX38" s="122"/>
      <c r="HY38" s="122"/>
      <c r="HZ38" s="122"/>
      <c r="IA38" s="122"/>
      <c r="IB38" s="122"/>
      <c r="IC38" s="122"/>
      <c r="ID38" s="122"/>
      <c r="IE38" s="122"/>
      <c r="IF38" s="122"/>
      <c r="IG38" s="122"/>
      <c r="IH38" s="122"/>
      <c r="II38" s="122"/>
      <c r="IJ38" s="122"/>
      <c r="IK38" s="122"/>
      <c r="IL38" s="122"/>
      <c r="IM38" s="122"/>
      <c r="IN38" s="122"/>
      <c r="IO38" s="122"/>
      <c r="IP38" s="122"/>
      <c r="IQ38" s="122"/>
      <c r="IR38" s="122"/>
      <c r="IS38" s="122"/>
      <c r="IT38" s="122"/>
      <c r="IU38" s="122"/>
      <c r="IV38" s="122"/>
    </row>
    <row r="39" spans="1:11" s="32" customFormat="1" ht="13.5" customHeight="1" thickBot="1">
      <c r="A39" s="33" t="s">
        <v>2</v>
      </c>
      <c r="B39" s="34" t="s">
        <v>4</v>
      </c>
      <c r="C39" s="35" t="s">
        <v>2</v>
      </c>
      <c r="D39" s="36" t="s">
        <v>2</v>
      </c>
      <c r="E39" s="36" t="s">
        <v>12</v>
      </c>
      <c r="F39" s="37"/>
      <c r="G39" s="38" t="s">
        <v>77</v>
      </c>
      <c r="H39" s="39">
        <f>H40+H41</f>
        <v>0</v>
      </c>
      <c r="I39" s="40">
        <f>I40+I41</f>
        <v>4330.648</v>
      </c>
      <c r="J39" s="41">
        <f>J40+J41</f>
        <v>0</v>
      </c>
      <c r="K39" s="42">
        <f>K40+K41</f>
        <v>4330.648</v>
      </c>
    </row>
    <row r="40" spans="1:11" s="32" customFormat="1" ht="13.5" customHeight="1">
      <c r="A40" s="52" t="s">
        <v>67</v>
      </c>
      <c r="B40" s="85" t="s">
        <v>22</v>
      </c>
      <c r="C40" s="54" t="s">
        <v>2</v>
      </c>
      <c r="D40" s="86">
        <v>6172</v>
      </c>
      <c r="E40" s="86">
        <v>3111</v>
      </c>
      <c r="F40" s="87"/>
      <c r="G40" s="88" t="s">
        <v>78</v>
      </c>
      <c r="H40" s="89">
        <v>0</v>
      </c>
      <c r="I40" s="120">
        <v>22.72</v>
      </c>
      <c r="J40" s="90"/>
      <c r="K40" s="7">
        <f>I40+J40</f>
        <v>22.72</v>
      </c>
    </row>
    <row r="41" spans="1:256" ht="13.5" thickBot="1">
      <c r="A41" s="43" t="s">
        <v>67</v>
      </c>
      <c r="B41" s="60" t="s">
        <v>22</v>
      </c>
      <c r="C41" s="61" t="s">
        <v>2</v>
      </c>
      <c r="D41" s="91">
        <v>6172</v>
      </c>
      <c r="E41" s="91">
        <v>3112</v>
      </c>
      <c r="F41" s="92"/>
      <c r="G41" s="93" t="s">
        <v>79</v>
      </c>
      <c r="H41" s="66">
        <v>0</v>
      </c>
      <c r="I41" s="215">
        <f>4050+57.928+200</f>
        <v>4307.928</v>
      </c>
      <c r="J41" s="274"/>
      <c r="K41" s="6">
        <f>I41+J41</f>
        <v>4307.928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1:256" ht="12.75" customHeight="1" thickBot="1">
      <c r="A42" s="33" t="s">
        <v>2</v>
      </c>
      <c r="B42" s="34" t="s">
        <v>4</v>
      </c>
      <c r="C42" s="35" t="s">
        <v>2</v>
      </c>
      <c r="D42" s="36" t="s">
        <v>2</v>
      </c>
      <c r="E42" s="36" t="s">
        <v>80</v>
      </c>
      <c r="F42" s="37"/>
      <c r="G42" s="38" t="s">
        <v>81</v>
      </c>
      <c r="H42" s="109">
        <f>H43+H45+H47+H49+H51+H53+H55+H56+H58</f>
        <v>24770</v>
      </c>
      <c r="I42" s="111">
        <f>I43+I45+I47+I49+I51+I53+I55+I56+I58</f>
        <v>266441.261</v>
      </c>
      <c r="J42" s="109">
        <f>J43+J45+J47+J49+J51+J53+J55+J56+J58</f>
        <v>0</v>
      </c>
      <c r="K42" s="111">
        <f>K43+K45+K47+K49+K51+K53+K55+K56+K58</f>
        <v>266441.261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</row>
    <row r="43" spans="1:256" ht="12.75">
      <c r="A43" s="124" t="s">
        <v>67</v>
      </c>
      <c r="B43" s="125" t="s">
        <v>4</v>
      </c>
      <c r="C43" s="126" t="s">
        <v>2</v>
      </c>
      <c r="D43" s="127" t="s">
        <v>2</v>
      </c>
      <c r="E43" s="127" t="s">
        <v>2</v>
      </c>
      <c r="F43" s="127" t="s">
        <v>2</v>
      </c>
      <c r="G43" s="95" t="s">
        <v>82</v>
      </c>
      <c r="H43" s="166">
        <f>SUM(H44:H44)</f>
        <v>0</v>
      </c>
      <c r="I43" s="129">
        <f>SUM(I44:I44)</f>
        <v>146851</v>
      </c>
      <c r="J43" s="129">
        <f>SUM(J44:J44)</f>
        <v>0</v>
      </c>
      <c r="K43" s="128">
        <f>SUM(K44:K44)</f>
        <v>146851</v>
      </c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/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22"/>
      <c r="EY43" s="122"/>
      <c r="EZ43" s="122"/>
      <c r="FA43" s="122"/>
      <c r="FB43" s="122"/>
      <c r="FC43" s="122"/>
      <c r="FD43" s="122"/>
      <c r="FE43" s="122"/>
      <c r="FF43" s="122"/>
      <c r="FG43" s="122"/>
      <c r="FH43" s="122"/>
      <c r="FI43" s="122"/>
      <c r="FJ43" s="122"/>
      <c r="FK43" s="122"/>
      <c r="FL43" s="122"/>
      <c r="FM43" s="122"/>
      <c r="FN43" s="122"/>
      <c r="FO43" s="122"/>
      <c r="FP43" s="122"/>
      <c r="FQ43" s="122"/>
      <c r="FR43" s="122"/>
      <c r="FS43" s="122"/>
      <c r="FT43" s="122"/>
      <c r="FU43" s="122"/>
      <c r="FV43" s="122"/>
      <c r="FW43" s="122"/>
      <c r="FX43" s="122"/>
      <c r="FY43" s="122"/>
      <c r="FZ43" s="122"/>
      <c r="GA43" s="122"/>
      <c r="GB43" s="122"/>
      <c r="GC43" s="122"/>
      <c r="GD43" s="122"/>
      <c r="GE43" s="122"/>
      <c r="GF43" s="122"/>
      <c r="GG43" s="122"/>
      <c r="GH43" s="122"/>
      <c r="GI43" s="122"/>
      <c r="GJ43" s="122"/>
      <c r="GK43" s="122"/>
      <c r="GL43" s="122"/>
      <c r="GM43" s="122"/>
      <c r="GN43" s="122"/>
      <c r="GO43" s="122"/>
      <c r="GP43" s="122"/>
      <c r="GQ43" s="122"/>
      <c r="GR43" s="122"/>
      <c r="GS43" s="122"/>
      <c r="GT43" s="122"/>
      <c r="GU43" s="122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122"/>
      <c r="HG43" s="122"/>
      <c r="HH43" s="122"/>
      <c r="HI43" s="122"/>
      <c r="HJ43" s="122"/>
      <c r="HK43" s="122"/>
      <c r="HL43" s="122"/>
      <c r="HM43" s="122"/>
      <c r="HN43" s="122"/>
      <c r="HO43" s="122"/>
      <c r="HP43" s="122"/>
      <c r="HQ43" s="122"/>
      <c r="HR43" s="122"/>
      <c r="HS43" s="122"/>
      <c r="HT43" s="122"/>
      <c r="HU43" s="122"/>
      <c r="HV43" s="122"/>
      <c r="HW43" s="122"/>
      <c r="HX43" s="122"/>
      <c r="HY43" s="122"/>
      <c r="HZ43" s="122"/>
      <c r="IA43" s="122"/>
      <c r="IB43" s="122"/>
      <c r="IC43" s="122"/>
      <c r="ID43" s="122"/>
      <c r="IE43" s="122"/>
      <c r="IF43" s="122"/>
      <c r="IG43" s="122"/>
      <c r="IH43" s="122"/>
      <c r="II43" s="122"/>
      <c r="IJ43" s="122"/>
      <c r="IK43" s="122"/>
      <c r="IL43" s="122"/>
      <c r="IM43" s="122"/>
      <c r="IN43" s="122"/>
      <c r="IO43" s="122"/>
      <c r="IP43" s="122"/>
      <c r="IQ43" s="122"/>
      <c r="IR43" s="122"/>
      <c r="IS43" s="122"/>
      <c r="IT43" s="122"/>
      <c r="IU43" s="122"/>
      <c r="IV43" s="122"/>
    </row>
    <row r="44" spans="1:256" ht="13.5" thickBot="1">
      <c r="A44" s="130"/>
      <c r="B44" s="131"/>
      <c r="C44" s="132"/>
      <c r="D44" s="133"/>
      <c r="E44" s="133">
        <v>4113</v>
      </c>
      <c r="F44" s="134" t="s">
        <v>83</v>
      </c>
      <c r="G44" s="96" t="s">
        <v>84</v>
      </c>
      <c r="H44" s="167">
        <v>0</v>
      </c>
      <c r="I44" s="137">
        <v>146851</v>
      </c>
      <c r="J44" s="137"/>
      <c r="K44" s="108">
        <f>I44+J44</f>
        <v>146851</v>
      </c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22"/>
      <c r="EY44" s="122"/>
      <c r="EZ44" s="122"/>
      <c r="FA44" s="122"/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2"/>
      <c r="FM44" s="122"/>
      <c r="FN44" s="122"/>
      <c r="FO44" s="122"/>
      <c r="FP44" s="122"/>
      <c r="FQ44" s="122"/>
      <c r="FR44" s="122"/>
      <c r="FS44" s="122"/>
      <c r="FT44" s="122"/>
      <c r="FU44" s="122"/>
      <c r="FV44" s="122"/>
      <c r="FW44" s="122"/>
      <c r="FX44" s="122"/>
      <c r="FY44" s="122"/>
      <c r="FZ44" s="122"/>
      <c r="GA44" s="122"/>
      <c r="GB44" s="122"/>
      <c r="GC44" s="122"/>
      <c r="GD44" s="122"/>
      <c r="GE44" s="122"/>
      <c r="GF44" s="122"/>
      <c r="GG44" s="122"/>
      <c r="GH44" s="122"/>
      <c r="GI44" s="122"/>
      <c r="GJ44" s="122"/>
      <c r="GK44" s="122"/>
      <c r="GL44" s="122"/>
      <c r="GM44" s="122"/>
      <c r="GN44" s="122"/>
      <c r="GO44" s="122"/>
      <c r="GP44" s="122"/>
      <c r="GQ44" s="122"/>
      <c r="GR44" s="122"/>
      <c r="GS44" s="122"/>
      <c r="GT44" s="122"/>
      <c r="GU44" s="122"/>
      <c r="GV44" s="122"/>
      <c r="GW44" s="122"/>
      <c r="GX44" s="122"/>
      <c r="GY44" s="122"/>
      <c r="GZ44" s="122"/>
      <c r="HA44" s="122"/>
      <c r="HB44" s="122"/>
      <c r="HC44" s="122"/>
      <c r="HD44" s="122"/>
      <c r="HE44" s="122"/>
      <c r="HF44" s="122"/>
      <c r="HG44" s="122"/>
      <c r="HH44" s="122"/>
      <c r="HI44" s="122"/>
      <c r="HJ44" s="122"/>
      <c r="HK44" s="122"/>
      <c r="HL44" s="122"/>
      <c r="HM44" s="122"/>
      <c r="HN44" s="122"/>
      <c r="HO44" s="122"/>
      <c r="HP44" s="122"/>
      <c r="HQ44" s="122"/>
      <c r="HR44" s="122"/>
      <c r="HS44" s="122"/>
      <c r="HT44" s="122"/>
      <c r="HU44" s="122"/>
      <c r="HV44" s="122"/>
      <c r="HW44" s="122"/>
      <c r="HX44" s="122"/>
      <c r="HY44" s="122"/>
      <c r="HZ44" s="122"/>
      <c r="IA44" s="122"/>
      <c r="IB44" s="122"/>
      <c r="IC44" s="122"/>
      <c r="ID44" s="122"/>
      <c r="IE44" s="122"/>
      <c r="IF44" s="122"/>
      <c r="IG44" s="122"/>
      <c r="IH44" s="122"/>
      <c r="II44" s="122"/>
      <c r="IJ44" s="122"/>
      <c r="IK44" s="122"/>
      <c r="IL44" s="122"/>
      <c r="IM44" s="122"/>
      <c r="IN44" s="122"/>
      <c r="IO44" s="122"/>
      <c r="IP44" s="122"/>
      <c r="IQ44" s="122"/>
      <c r="IR44" s="122"/>
      <c r="IS44" s="122"/>
      <c r="IT44" s="122"/>
      <c r="IU44" s="122"/>
      <c r="IV44" s="122"/>
    </row>
    <row r="45" spans="1:256" ht="12.75">
      <c r="A45" s="124" t="s">
        <v>67</v>
      </c>
      <c r="B45" s="125" t="s">
        <v>4</v>
      </c>
      <c r="C45" s="126" t="s">
        <v>2</v>
      </c>
      <c r="D45" s="127" t="s">
        <v>2</v>
      </c>
      <c r="E45" s="127" t="s">
        <v>2</v>
      </c>
      <c r="F45" s="127" t="s">
        <v>2</v>
      </c>
      <c r="G45" s="95" t="s">
        <v>98</v>
      </c>
      <c r="H45" s="166">
        <f>SUM(H46:H46)</f>
        <v>0</v>
      </c>
      <c r="I45" s="129">
        <f>SUM(I46:I46)</f>
        <v>598.534</v>
      </c>
      <c r="J45" s="129">
        <f>SUM(J46:J46)</f>
        <v>0</v>
      </c>
      <c r="K45" s="128">
        <f>SUM(K46:K46)</f>
        <v>598.534</v>
      </c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  <c r="ET45" s="122"/>
      <c r="EU45" s="122"/>
      <c r="EV45" s="122"/>
      <c r="EW45" s="122"/>
      <c r="EX45" s="122"/>
      <c r="EY45" s="122"/>
      <c r="EZ45" s="122"/>
      <c r="FA45" s="122"/>
      <c r="FB45" s="122"/>
      <c r="FC45" s="122"/>
      <c r="FD45" s="122"/>
      <c r="FE45" s="122"/>
      <c r="FF45" s="122"/>
      <c r="FG45" s="122"/>
      <c r="FH45" s="122"/>
      <c r="FI45" s="122"/>
      <c r="FJ45" s="122"/>
      <c r="FK45" s="122"/>
      <c r="FL45" s="122"/>
      <c r="FM45" s="122"/>
      <c r="FN45" s="122"/>
      <c r="FO45" s="122"/>
      <c r="FP45" s="122"/>
      <c r="FQ45" s="122"/>
      <c r="FR45" s="122"/>
      <c r="FS45" s="122"/>
      <c r="FT45" s="122"/>
      <c r="FU45" s="122"/>
      <c r="FV45" s="122"/>
      <c r="FW45" s="122"/>
      <c r="FX45" s="122"/>
      <c r="FY45" s="122"/>
      <c r="FZ45" s="122"/>
      <c r="GA45" s="122"/>
      <c r="GB45" s="122"/>
      <c r="GC45" s="122"/>
      <c r="GD45" s="122"/>
      <c r="GE45" s="122"/>
      <c r="GF45" s="122"/>
      <c r="GG45" s="122"/>
      <c r="GH45" s="122"/>
      <c r="GI45" s="122"/>
      <c r="GJ45" s="122"/>
      <c r="GK45" s="122"/>
      <c r="GL45" s="122"/>
      <c r="GM45" s="122"/>
      <c r="GN45" s="122"/>
      <c r="GO45" s="122"/>
      <c r="GP45" s="122"/>
      <c r="GQ45" s="122"/>
      <c r="GR45" s="122"/>
      <c r="GS45" s="122"/>
      <c r="GT45" s="122"/>
      <c r="GU45" s="122"/>
      <c r="GV45" s="122"/>
      <c r="GW45" s="122"/>
      <c r="GX45" s="122"/>
      <c r="GY45" s="122"/>
      <c r="GZ45" s="122"/>
      <c r="HA45" s="122"/>
      <c r="HB45" s="122"/>
      <c r="HC45" s="122"/>
      <c r="HD45" s="122"/>
      <c r="HE45" s="122"/>
      <c r="HF45" s="122"/>
      <c r="HG45" s="122"/>
      <c r="HH45" s="122"/>
      <c r="HI45" s="122"/>
      <c r="HJ45" s="122"/>
      <c r="HK45" s="122"/>
      <c r="HL45" s="122"/>
      <c r="HM45" s="122"/>
      <c r="HN45" s="122"/>
      <c r="HO45" s="122"/>
      <c r="HP45" s="122"/>
      <c r="HQ45" s="122"/>
      <c r="HR45" s="122"/>
      <c r="HS45" s="122"/>
      <c r="HT45" s="122"/>
      <c r="HU45" s="122"/>
      <c r="HV45" s="122"/>
      <c r="HW45" s="122"/>
      <c r="HX45" s="122"/>
      <c r="HY45" s="122"/>
      <c r="HZ45" s="122"/>
      <c r="IA45" s="122"/>
      <c r="IB45" s="122"/>
      <c r="IC45" s="122"/>
      <c r="ID45" s="122"/>
      <c r="IE45" s="122"/>
      <c r="IF45" s="122"/>
      <c r="IG45" s="122"/>
      <c r="IH45" s="122"/>
      <c r="II45" s="122"/>
      <c r="IJ45" s="122"/>
      <c r="IK45" s="122"/>
      <c r="IL45" s="122"/>
      <c r="IM45" s="122"/>
      <c r="IN45" s="122"/>
      <c r="IO45" s="122"/>
      <c r="IP45" s="122"/>
      <c r="IQ45" s="122"/>
      <c r="IR45" s="122"/>
      <c r="IS45" s="122"/>
      <c r="IT45" s="122"/>
      <c r="IU45" s="122"/>
      <c r="IV45" s="122"/>
    </row>
    <row r="46" spans="1:256" ht="13.5" thickBot="1">
      <c r="A46" s="130"/>
      <c r="B46" s="131"/>
      <c r="C46" s="132"/>
      <c r="D46" s="133"/>
      <c r="E46" s="133">
        <v>4113</v>
      </c>
      <c r="F46" s="134" t="s">
        <v>83</v>
      </c>
      <c r="G46" s="96" t="s">
        <v>84</v>
      </c>
      <c r="H46" s="167">
        <v>0</v>
      </c>
      <c r="I46" s="145">
        <v>598.534</v>
      </c>
      <c r="J46" s="145"/>
      <c r="K46" s="108">
        <f>I46+J46</f>
        <v>598.534</v>
      </c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/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22"/>
      <c r="EY46" s="122"/>
      <c r="EZ46" s="122"/>
      <c r="FA46" s="122"/>
      <c r="FB46" s="122"/>
      <c r="FC46" s="122"/>
      <c r="FD46" s="122"/>
      <c r="FE46" s="122"/>
      <c r="FF46" s="122"/>
      <c r="FG46" s="122"/>
      <c r="FH46" s="122"/>
      <c r="FI46" s="122"/>
      <c r="FJ46" s="122"/>
      <c r="FK46" s="122"/>
      <c r="FL46" s="122"/>
      <c r="FM46" s="122"/>
      <c r="FN46" s="122"/>
      <c r="FO46" s="122"/>
      <c r="FP46" s="122"/>
      <c r="FQ46" s="122"/>
      <c r="FR46" s="122"/>
      <c r="FS46" s="122"/>
      <c r="FT46" s="122"/>
      <c r="FU46" s="122"/>
      <c r="FV46" s="122"/>
      <c r="FW46" s="122"/>
      <c r="FX46" s="122"/>
      <c r="FY46" s="122"/>
      <c r="FZ46" s="122"/>
      <c r="GA46" s="122"/>
      <c r="GB46" s="122"/>
      <c r="GC46" s="122"/>
      <c r="GD46" s="122"/>
      <c r="GE46" s="122"/>
      <c r="GF46" s="122"/>
      <c r="GG46" s="122"/>
      <c r="GH46" s="122"/>
      <c r="GI46" s="122"/>
      <c r="GJ46" s="122"/>
      <c r="GK46" s="122"/>
      <c r="GL46" s="122"/>
      <c r="GM46" s="122"/>
      <c r="GN46" s="122"/>
      <c r="GO46" s="122"/>
      <c r="GP46" s="122"/>
      <c r="GQ46" s="122"/>
      <c r="GR46" s="122"/>
      <c r="GS46" s="122"/>
      <c r="GT46" s="122"/>
      <c r="GU46" s="122"/>
      <c r="GV46" s="122"/>
      <c r="GW46" s="122"/>
      <c r="GX46" s="122"/>
      <c r="GY46" s="122"/>
      <c r="GZ46" s="122"/>
      <c r="HA46" s="122"/>
      <c r="HB46" s="122"/>
      <c r="HC46" s="122"/>
      <c r="HD46" s="122"/>
      <c r="HE46" s="122"/>
      <c r="HF46" s="122"/>
      <c r="HG46" s="122"/>
      <c r="HH46" s="122"/>
      <c r="HI46" s="122"/>
      <c r="HJ46" s="122"/>
      <c r="HK46" s="122"/>
      <c r="HL46" s="122"/>
      <c r="HM46" s="122"/>
      <c r="HN46" s="122"/>
      <c r="HO46" s="122"/>
      <c r="HP46" s="122"/>
      <c r="HQ46" s="122"/>
      <c r="HR46" s="122"/>
      <c r="HS46" s="122"/>
      <c r="HT46" s="122"/>
      <c r="HU46" s="122"/>
      <c r="HV46" s="122"/>
      <c r="HW46" s="122"/>
      <c r="HX46" s="122"/>
      <c r="HY46" s="122"/>
      <c r="HZ46" s="122"/>
      <c r="IA46" s="122"/>
      <c r="IB46" s="122"/>
      <c r="IC46" s="122"/>
      <c r="ID46" s="122"/>
      <c r="IE46" s="122"/>
      <c r="IF46" s="122"/>
      <c r="IG46" s="122"/>
      <c r="IH46" s="122"/>
      <c r="II46" s="122"/>
      <c r="IJ46" s="122"/>
      <c r="IK46" s="122"/>
      <c r="IL46" s="122"/>
      <c r="IM46" s="122"/>
      <c r="IN46" s="122"/>
      <c r="IO46" s="122"/>
      <c r="IP46" s="122"/>
      <c r="IQ46" s="122"/>
      <c r="IR46" s="122"/>
      <c r="IS46" s="122"/>
      <c r="IT46" s="122"/>
      <c r="IU46" s="122"/>
      <c r="IV46" s="122"/>
    </row>
    <row r="47" spans="1:256" ht="23.25" customHeight="1">
      <c r="A47" s="124" t="s">
        <v>67</v>
      </c>
      <c r="B47" s="125" t="s">
        <v>4</v>
      </c>
      <c r="C47" s="126" t="s">
        <v>2</v>
      </c>
      <c r="D47" s="127" t="s">
        <v>2</v>
      </c>
      <c r="E47" s="127" t="s">
        <v>2</v>
      </c>
      <c r="F47" s="127" t="s">
        <v>2</v>
      </c>
      <c r="G47" s="95" t="s">
        <v>85</v>
      </c>
      <c r="H47" s="166">
        <f>SUM(H48:H48)</f>
        <v>0</v>
      </c>
      <c r="I47" s="129">
        <f>SUM(I48:I48)</f>
        <v>92565.706</v>
      </c>
      <c r="J47" s="129">
        <f>SUM(J48:J48)</f>
        <v>0</v>
      </c>
      <c r="K47" s="128">
        <f>SUM(K48:K48)</f>
        <v>92565.706</v>
      </c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0"/>
      <c r="DH47" s="150"/>
      <c r="DI47" s="150"/>
      <c r="DJ47" s="150"/>
      <c r="DK47" s="150"/>
      <c r="DL47" s="150"/>
      <c r="DM47" s="150"/>
      <c r="DN47" s="150"/>
      <c r="DO47" s="150"/>
      <c r="DP47" s="150"/>
      <c r="DQ47" s="150"/>
      <c r="DR47" s="150"/>
      <c r="DS47" s="150"/>
      <c r="DT47" s="150"/>
      <c r="DU47" s="150"/>
      <c r="DV47" s="150"/>
      <c r="DW47" s="150"/>
      <c r="DX47" s="150"/>
      <c r="DY47" s="150"/>
      <c r="DZ47" s="150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  <c r="FM47" s="150"/>
      <c r="FN47" s="150"/>
      <c r="FO47" s="150"/>
      <c r="FP47" s="150"/>
      <c r="FQ47" s="150"/>
      <c r="FR47" s="150"/>
      <c r="FS47" s="150"/>
      <c r="FT47" s="150"/>
      <c r="FU47" s="150"/>
      <c r="FV47" s="150"/>
      <c r="FW47" s="150"/>
      <c r="FX47" s="150"/>
      <c r="FY47" s="150"/>
      <c r="FZ47" s="150"/>
      <c r="GA47" s="150"/>
      <c r="GB47" s="150"/>
      <c r="GC47" s="150"/>
      <c r="GD47" s="150"/>
      <c r="GE47" s="150"/>
      <c r="GF47" s="150"/>
      <c r="GG47" s="150"/>
      <c r="GH47" s="150"/>
      <c r="GI47" s="150"/>
      <c r="GJ47" s="150"/>
      <c r="GK47" s="150"/>
      <c r="GL47" s="150"/>
      <c r="GM47" s="150"/>
      <c r="GN47" s="150"/>
      <c r="GO47" s="150"/>
      <c r="GP47" s="150"/>
      <c r="GQ47" s="150"/>
      <c r="GR47" s="150"/>
      <c r="GS47" s="150"/>
      <c r="GT47" s="150"/>
      <c r="GU47" s="150"/>
      <c r="GV47" s="150"/>
      <c r="GW47" s="150"/>
      <c r="GX47" s="150"/>
      <c r="GY47" s="150"/>
      <c r="GZ47" s="150"/>
      <c r="HA47" s="150"/>
      <c r="HB47" s="150"/>
      <c r="HC47" s="150"/>
      <c r="HD47" s="150"/>
      <c r="HE47" s="150"/>
      <c r="HF47" s="150"/>
      <c r="HG47" s="150"/>
      <c r="HH47" s="150"/>
      <c r="HI47" s="150"/>
      <c r="HJ47" s="150"/>
      <c r="HK47" s="150"/>
      <c r="HL47" s="150"/>
      <c r="HM47" s="150"/>
      <c r="HN47" s="150"/>
      <c r="HO47" s="150"/>
      <c r="HP47" s="150"/>
      <c r="HQ47" s="150"/>
      <c r="HR47" s="150"/>
      <c r="HS47" s="150"/>
      <c r="HT47" s="150"/>
      <c r="HU47" s="150"/>
      <c r="HV47" s="150"/>
      <c r="HW47" s="150"/>
      <c r="HX47" s="150"/>
      <c r="HY47" s="150"/>
      <c r="HZ47" s="150"/>
      <c r="IA47" s="150"/>
      <c r="IB47" s="150"/>
      <c r="IC47" s="150"/>
      <c r="ID47" s="150"/>
      <c r="IE47" s="150"/>
      <c r="IF47" s="150"/>
      <c r="IG47" s="150"/>
      <c r="IH47" s="150"/>
      <c r="II47" s="150"/>
      <c r="IJ47" s="150"/>
      <c r="IK47" s="150"/>
      <c r="IL47" s="150"/>
      <c r="IM47" s="150"/>
      <c r="IN47" s="150"/>
      <c r="IO47" s="150"/>
      <c r="IP47" s="150"/>
      <c r="IQ47" s="150"/>
      <c r="IR47" s="150"/>
      <c r="IS47" s="150"/>
      <c r="IT47" s="150"/>
      <c r="IU47" s="150"/>
      <c r="IV47" s="150"/>
    </row>
    <row r="48" spans="1:256" ht="13.5" thickBot="1">
      <c r="A48" s="130"/>
      <c r="B48" s="131"/>
      <c r="C48" s="132"/>
      <c r="D48" s="133"/>
      <c r="E48" s="133">
        <v>4116</v>
      </c>
      <c r="F48" s="134" t="s">
        <v>86</v>
      </c>
      <c r="G48" s="96" t="s">
        <v>87</v>
      </c>
      <c r="H48" s="167">
        <v>0</v>
      </c>
      <c r="I48" s="215">
        <v>92565.706</v>
      </c>
      <c r="J48" s="137"/>
      <c r="K48" s="108">
        <f>I48+J48</f>
        <v>92565.706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  <c r="IL48" s="150"/>
      <c r="IM48" s="150"/>
      <c r="IN48" s="150"/>
      <c r="IO48" s="150"/>
      <c r="IP48" s="150"/>
      <c r="IQ48" s="150"/>
      <c r="IR48" s="150"/>
      <c r="IS48" s="150"/>
      <c r="IT48" s="150"/>
      <c r="IU48" s="150"/>
      <c r="IV48" s="150"/>
    </row>
    <row r="49" spans="1:256" ht="22.5">
      <c r="A49" s="219" t="s">
        <v>67</v>
      </c>
      <c r="B49" s="220" t="s">
        <v>22</v>
      </c>
      <c r="C49" s="221" t="s">
        <v>120</v>
      </c>
      <c r="D49" s="172" t="s">
        <v>2</v>
      </c>
      <c r="E49" s="172" t="s">
        <v>2</v>
      </c>
      <c r="F49" s="222" t="s">
        <v>2</v>
      </c>
      <c r="G49" s="173" t="s">
        <v>121</v>
      </c>
      <c r="H49" s="223">
        <f>SUM(H50:H50)</f>
        <v>0</v>
      </c>
      <c r="I49" s="224">
        <f>SUM(I50:I50)</f>
        <v>385.039</v>
      </c>
      <c r="J49" s="224">
        <f>SUM(J50:J50)</f>
        <v>0</v>
      </c>
      <c r="K49" s="105">
        <f>SUM(K50:K50)</f>
        <v>385.039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  <c r="DN49" s="150"/>
      <c r="DO49" s="150"/>
      <c r="DP49" s="150"/>
      <c r="DQ49" s="150"/>
      <c r="DR49" s="150"/>
      <c r="DS49" s="150"/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  <c r="FM49" s="150"/>
      <c r="FN49" s="150"/>
      <c r="FO49" s="150"/>
      <c r="FP49" s="150"/>
      <c r="FQ49" s="150"/>
      <c r="FR49" s="150"/>
      <c r="FS49" s="150"/>
      <c r="FT49" s="150"/>
      <c r="FU49" s="150"/>
      <c r="FV49" s="150"/>
      <c r="FW49" s="150"/>
      <c r="FX49" s="150"/>
      <c r="FY49" s="150"/>
      <c r="FZ49" s="150"/>
      <c r="GA49" s="150"/>
      <c r="GB49" s="150"/>
      <c r="GC49" s="150"/>
      <c r="GD49" s="150"/>
      <c r="GE49" s="150"/>
      <c r="GF49" s="150"/>
      <c r="GG49" s="150"/>
      <c r="GH49" s="150"/>
      <c r="GI49" s="150"/>
      <c r="GJ49" s="150"/>
      <c r="GK49" s="150"/>
      <c r="GL49" s="150"/>
      <c r="GM49" s="150"/>
      <c r="GN49" s="150"/>
      <c r="GO49" s="150"/>
      <c r="GP49" s="150"/>
      <c r="GQ49" s="150"/>
      <c r="GR49" s="150"/>
      <c r="GS49" s="150"/>
      <c r="GT49" s="150"/>
      <c r="GU49" s="150"/>
      <c r="GV49" s="150"/>
      <c r="GW49" s="150"/>
      <c r="GX49" s="150"/>
      <c r="GY49" s="150"/>
      <c r="GZ49" s="150"/>
      <c r="HA49" s="150"/>
      <c r="HB49" s="150"/>
      <c r="HC49" s="150"/>
      <c r="HD49" s="150"/>
      <c r="HE49" s="150"/>
      <c r="HF49" s="150"/>
      <c r="HG49" s="150"/>
      <c r="HH49" s="150"/>
      <c r="HI49" s="150"/>
      <c r="HJ49" s="150"/>
      <c r="HK49" s="150"/>
      <c r="HL49" s="150"/>
      <c r="HM49" s="150"/>
      <c r="HN49" s="150"/>
      <c r="HO49" s="150"/>
      <c r="HP49" s="150"/>
      <c r="HQ49" s="150"/>
      <c r="HR49" s="150"/>
      <c r="HS49" s="150"/>
      <c r="HT49" s="150"/>
      <c r="HU49" s="150"/>
      <c r="HV49" s="150"/>
      <c r="HW49" s="150"/>
      <c r="HX49" s="150"/>
      <c r="HY49" s="150"/>
      <c r="HZ49" s="150"/>
      <c r="IA49" s="150"/>
      <c r="IB49" s="150"/>
      <c r="IC49" s="150"/>
      <c r="ID49" s="150"/>
      <c r="IE49" s="150"/>
      <c r="IF49" s="150"/>
      <c r="IG49" s="150"/>
      <c r="IH49" s="150"/>
      <c r="II49" s="150"/>
      <c r="IJ49" s="150"/>
      <c r="IK49" s="150"/>
      <c r="IL49" s="150"/>
      <c r="IM49" s="150"/>
      <c r="IN49" s="150"/>
      <c r="IO49" s="150"/>
      <c r="IP49" s="150"/>
      <c r="IQ49" s="150"/>
      <c r="IR49" s="150"/>
      <c r="IS49" s="150"/>
      <c r="IT49" s="150"/>
      <c r="IU49" s="150"/>
      <c r="IV49" s="150"/>
    </row>
    <row r="50" spans="1:256" ht="13.5" thickBot="1">
      <c r="A50" s="225"/>
      <c r="B50" s="226"/>
      <c r="C50" s="227"/>
      <c r="D50" s="152"/>
      <c r="E50" s="152">
        <v>4118</v>
      </c>
      <c r="F50" s="164" t="s">
        <v>122</v>
      </c>
      <c r="G50" s="101" t="s">
        <v>123</v>
      </c>
      <c r="H50" s="228">
        <v>0</v>
      </c>
      <c r="I50" s="215">
        <v>385.039</v>
      </c>
      <c r="J50" s="229"/>
      <c r="K50" s="107">
        <f>I50+J50</f>
        <v>385.039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  <c r="CM50" s="150"/>
      <c r="CN50" s="150"/>
      <c r="CO50" s="150"/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50"/>
      <c r="DG50" s="150"/>
      <c r="DH50" s="150"/>
      <c r="DI50" s="150"/>
      <c r="DJ50" s="150"/>
      <c r="DK50" s="150"/>
      <c r="DL50" s="150"/>
      <c r="DM50" s="150"/>
      <c r="DN50" s="150"/>
      <c r="DO50" s="150"/>
      <c r="DP50" s="150"/>
      <c r="DQ50" s="150"/>
      <c r="DR50" s="150"/>
      <c r="DS50" s="150"/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  <c r="FM50" s="150"/>
      <c r="FN50" s="150"/>
      <c r="FO50" s="150"/>
      <c r="FP50" s="150"/>
      <c r="FQ50" s="150"/>
      <c r="FR50" s="150"/>
      <c r="FS50" s="150"/>
      <c r="FT50" s="150"/>
      <c r="FU50" s="150"/>
      <c r="FV50" s="150"/>
      <c r="FW50" s="150"/>
      <c r="FX50" s="150"/>
      <c r="FY50" s="150"/>
      <c r="FZ50" s="150"/>
      <c r="GA50" s="150"/>
      <c r="GB50" s="150"/>
      <c r="GC50" s="150"/>
      <c r="GD50" s="150"/>
      <c r="GE50" s="150"/>
      <c r="GF50" s="150"/>
      <c r="GG50" s="150"/>
      <c r="GH50" s="150"/>
      <c r="GI50" s="150"/>
      <c r="GJ50" s="150"/>
      <c r="GK50" s="150"/>
      <c r="GL50" s="150"/>
      <c r="GM50" s="150"/>
      <c r="GN50" s="150"/>
      <c r="GO50" s="150"/>
      <c r="GP50" s="150"/>
      <c r="GQ50" s="150"/>
      <c r="GR50" s="150"/>
      <c r="GS50" s="150"/>
      <c r="GT50" s="150"/>
      <c r="GU50" s="150"/>
      <c r="GV50" s="150"/>
      <c r="GW50" s="150"/>
      <c r="GX50" s="150"/>
      <c r="GY50" s="150"/>
      <c r="GZ50" s="150"/>
      <c r="HA50" s="150"/>
      <c r="HB50" s="150"/>
      <c r="HC50" s="150"/>
      <c r="HD50" s="150"/>
      <c r="HE50" s="150"/>
      <c r="HF50" s="150"/>
      <c r="HG50" s="150"/>
      <c r="HH50" s="150"/>
      <c r="HI50" s="150"/>
      <c r="HJ50" s="150"/>
      <c r="HK50" s="150"/>
      <c r="HL50" s="150"/>
      <c r="HM50" s="150"/>
      <c r="HN50" s="150"/>
      <c r="HO50" s="150"/>
      <c r="HP50" s="150"/>
      <c r="HQ50" s="150"/>
      <c r="HR50" s="150"/>
      <c r="HS50" s="150"/>
      <c r="HT50" s="150"/>
      <c r="HU50" s="150"/>
      <c r="HV50" s="150"/>
      <c r="HW50" s="150"/>
      <c r="HX50" s="150"/>
      <c r="HY50" s="150"/>
      <c r="HZ50" s="150"/>
      <c r="IA50" s="150"/>
      <c r="IB50" s="150"/>
      <c r="IC50" s="150"/>
      <c r="ID50" s="150"/>
      <c r="IE50" s="150"/>
      <c r="IF50" s="150"/>
      <c r="IG50" s="150"/>
      <c r="IH50" s="150"/>
      <c r="II50" s="150"/>
      <c r="IJ50" s="150"/>
      <c r="IK50" s="150"/>
      <c r="IL50" s="150"/>
      <c r="IM50" s="150"/>
      <c r="IN50" s="150"/>
      <c r="IO50" s="150"/>
      <c r="IP50" s="150"/>
      <c r="IQ50" s="150"/>
      <c r="IR50" s="150"/>
      <c r="IS50" s="150"/>
      <c r="IT50" s="150"/>
      <c r="IU50" s="150"/>
      <c r="IV50" s="150"/>
    </row>
    <row r="51" spans="1:256" ht="22.5">
      <c r="A51" s="219" t="s">
        <v>67</v>
      </c>
      <c r="B51" s="220" t="s">
        <v>22</v>
      </c>
      <c r="C51" s="221" t="s">
        <v>124</v>
      </c>
      <c r="D51" s="172" t="s">
        <v>2</v>
      </c>
      <c r="E51" s="172" t="s">
        <v>2</v>
      </c>
      <c r="F51" s="222" t="s">
        <v>2</v>
      </c>
      <c r="G51" s="173" t="s">
        <v>125</v>
      </c>
      <c r="H51" s="223">
        <f>SUM(H52:H52)</f>
        <v>0</v>
      </c>
      <c r="I51" s="224">
        <f>SUM(I52:I52)</f>
        <v>90.659</v>
      </c>
      <c r="J51" s="224">
        <f>SUM(J52:J52)</f>
        <v>0</v>
      </c>
      <c r="K51" s="105">
        <f>SUM(K52:K52)</f>
        <v>90.659</v>
      </c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50"/>
      <c r="DG51" s="150"/>
      <c r="DH51" s="150"/>
      <c r="DI51" s="150"/>
      <c r="DJ51" s="150"/>
      <c r="DK51" s="150"/>
      <c r="DL51" s="150"/>
      <c r="DM51" s="150"/>
      <c r="DN51" s="150"/>
      <c r="DO51" s="150"/>
      <c r="DP51" s="150"/>
      <c r="DQ51" s="150"/>
      <c r="DR51" s="150"/>
      <c r="DS51" s="150"/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0"/>
      <c r="EF51" s="150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  <c r="GV51" s="150"/>
      <c r="GW51" s="150"/>
      <c r="GX51" s="150"/>
      <c r="GY51" s="150"/>
      <c r="GZ51" s="150"/>
      <c r="HA51" s="150"/>
      <c r="HB51" s="150"/>
      <c r="HC51" s="150"/>
      <c r="HD51" s="150"/>
      <c r="HE51" s="150"/>
      <c r="HF51" s="150"/>
      <c r="HG51" s="150"/>
      <c r="HH51" s="150"/>
      <c r="HI51" s="150"/>
      <c r="HJ51" s="150"/>
      <c r="HK51" s="150"/>
      <c r="HL51" s="150"/>
      <c r="HM51" s="150"/>
      <c r="HN51" s="150"/>
      <c r="HO51" s="150"/>
      <c r="HP51" s="150"/>
      <c r="HQ51" s="150"/>
      <c r="HR51" s="150"/>
      <c r="HS51" s="150"/>
      <c r="HT51" s="150"/>
      <c r="HU51" s="150"/>
      <c r="HV51" s="150"/>
      <c r="HW51" s="150"/>
      <c r="HX51" s="150"/>
      <c r="HY51" s="150"/>
      <c r="HZ51" s="150"/>
      <c r="IA51" s="150"/>
      <c r="IB51" s="150"/>
      <c r="IC51" s="150"/>
      <c r="ID51" s="150"/>
      <c r="IE51" s="150"/>
      <c r="IF51" s="150"/>
      <c r="IG51" s="150"/>
      <c r="IH51" s="150"/>
      <c r="II51" s="150"/>
      <c r="IJ51" s="150"/>
      <c r="IK51" s="150"/>
      <c r="IL51" s="150"/>
      <c r="IM51" s="150"/>
      <c r="IN51" s="150"/>
      <c r="IO51" s="150"/>
      <c r="IP51" s="150"/>
      <c r="IQ51" s="150"/>
      <c r="IR51" s="150"/>
      <c r="IS51" s="150"/>
      <c r="IT51" s="150"/>
      <c r="IU51" s="150"/>
      <c r="IV51" s="150"/>
    </row>
    <row r="52" spans="1:256" ht="13.5" thickBot="1">
      <c r="A52" s="225"/>
      <c r="B52" s="226"/>
      <c r="C52" s="227"/>
      <c r="D52" s="152"/>
      <c r="E52" s="152">
        <v>4118</v>
      </c>
      <c r="F52" s="164" t="s">
        <v>122</v>
      </c>
      <c r="G52" s="101" t="s">
        <v>123</v>
      </c>
      <c r="H52" s="228">
        <v>0</v>
      </c>
      <c r="I52" s="215">
        <v>90.659</v>
      </c>
      <c r="J52" s="229"/>
      <c r="K52" s="107">
        <f>I52+J52</f>
        <v>90.659</v>
      </c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50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0"/>
      <c r="FP52" s="150"/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50"/>
      <c r="GQ52" s="150"/>
      <c r="GR52" s="150"/>
      <c r="GS52" s="150"/>
      <c r="GT52" s="150"/>
      <c r="GU52" s="150"/>
      <c r="GV52" s="150"/>
      <c r="GW52" s="150"/>
      <c r="GX52" s="150"/>
      <c r="GY52" s="150"/>
      <c r="GZ52" s="150"/>
      <c r="HA52" s="150"/>
      <c r="HB52" s="150"/>
      <c r="HC52" s="150"/>
      <c r="HD52" s="150"/>
      <c r="HE52" s="150"/>
      <c r="HF52" s="150"/>
      <c r="HG52" s="150"/>
      <c r="HH52" s="150"/>
      <c r="HI52" s="150"/>
      <c r="HJ52" s="150"/>
      <c r="HK52" s="150"/>
      <c r="HL52" s="150"/>
      <c r="HM52" s="150"/>
      <c r="HN52" s="150"/>
      <c r="HO52" s="150"/>
      <c r="HP52" s="150"/>
      <c r="HQ52" s="150"/>
      <c r="HR52" s="150"/>
      <c r="HS52" s="150"/>
      <c r="HT52" s="150"/>
      <c r="HU52" s="150"/>
      <c r="HV52" s="150"/>
      <c r="HW52" s="150"/>
      <c r="HX52" s="150"/>
      <c r="HY52" s="150"/>
      <c r="HZ52" s="150"/>
      <c r="IA52" s="150"/>
      <c r="IB52" s="150"/>
      <c r="IC52" s="150"/>
      <c r="ID52" s="150"/>
      <c r="IE52" s="150"/>
      <c r="IF52" s="150"/>
      <c r="IG52" s="150"/>
      <c r="IH52" s="150"/>
      <c r="II52" s="150"/>
      <c r="IJ52" s="150"/>
      <c r="IK52" s="150"/>
      <c r="IL52" s="150"/>
      <c r="IM52" s="150"/>
      <c r="IN52" s="150"/>
      <c r="IO52" s="150"/>
      <c r="IP52" s="150"/>
      <c r="IQ52" s="150"/>
      <c r="IR52" s="150"/>
      <c r="IS52" s="150"/>
      <c r="IT52" s="150"/>
      <c r="IU52" s="150"/>
      <c r="IV52" s="150"/>
    </row>
    <row r="53" spans="1:256" ht="22.5">
      <c r="A53" s="219" t="s">
        <v>67</v>
      </c>
      <c r="B53" s="220" t="s">
        <v>22</v>
      </c>
      <c r="C53" s="221" t="s">
        <v>126</v>
      </c>
      <c r="D53" s="172" t="s">
        <v>2</v>
      </c>
      <c r="E53" s="172" t="s">
        <v>2</v>
      </c>
      <c r="F53" s="222" t="s">
        <v>2</v>
      </c>
      <c r="G53" s="173" t="s">
        <v>127</v>
      </c>
      <c r="H53" s="223">
        <f>SUM(H54:H54)</f>
        <v>0</v>
      </c>
      <c r="I53" s="224">
        <f>SUM(I54:I54)</f>
        <v>73.353</v>
      </c>
      <c r="J53" s="224">
        <f>SUM(J54:J54)</f>
        <v>0</v>
      </c>
      <c r="K53" s="105">
        <f>SUM(K54:K54)</f>
        <v>73.353</v>
      </c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DQ53" s="150"/>
      <c r="DR53" s="150"/>
      <c r="DS53" s="150"/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0"/>
      <c r="HB53" s="150"/>
      <c r="HC53" s="150"/>
      <c r="HD53" s="150"/>
      <c r="HE53" s="150"/>
      <c r="HF53" s="150"/>
      <c r="HG53" s="150"/>
      <c r="HH53" s="150"/>
      <c r="HI53" s="150"/>
      <c r="HJ53" s="150"/>
      <c r="HK53" s="150"/>
      <c r="HL53" s="150"/>
      <c r="HM53" s="150"/>
      <c r="HN53" s="150"/>
      <c r="HO53" s="150"/>
      <c r="HP53" s="150"/>
      <c r="HQ53" s="150"/>
      <c r="HR53" s="150"/>
      <c r="HS53" s="150"/>
      <c r="HT53" s="150"/>
      <c r="HU53" s="150"/>
      <c r="HV53" s="150"/>
      <c r="HW53" s="150"/>
      <c r="HX53" s="150"/>
      <c r="HY53" s="150"/>
      <c r="HZ53" s="150"/>
      <c r="IA53" s="150"/>
      <c r="IB53" s="150"/>
      <c r="IC53" s="150"/>
      <c r="ID53" s="150"/>
      <c r="IE53" s="150"/>
      <c r="IF53" s="150"/>
      <c r="IG53" s="150"/>
      <c r="IH53" s="150"/>
      <c r="II53" s="150"/>
      <c r="IJ53" s="150"/>
      <c r="IK53" s="150"/>
      <c r="IL53" s="150"/>
      <c r="IM53" s="150"/>
      <c r="IN53" s="150"/>
      <c r="IO53" s="150"/>
      <c r="IP53" s="150"/>
      <c r="IQ53" s="150"/>
      <c r="IR53" s="150"/>
      <c r="IS53" s="150"/>
      <c r="IT53" s="150"/>
      <c r="IU53" s="150"/>
      <c r="IV53" s="150"/>
    </row>
    <row r="54" spans="1:256" ht="13.5" thickBot="1">
      <c r="A54" s="160"/>
      <c r="B54" s="161"/>
      <c r="C54" s="162"/>
      <c r="D54" s="163"/>
      <c r="E54" s="163">
        <v>4118</v>
      </c>
      <c r="F54" s="164" t="s">
        <v>122</v>
      </c>
      <c r="G54" s="101" t="s">
        <v>123</v>
      </c>
      <c r="H54" s="171">
        <v>0</v>
      </c>
      <c r="I54" s="215">
        <v>73.353</v>
      </c>
      <c r="J54" s="165"/>
      <c r="K54" s="108">
        <f>I54+J54</f>
        <v>73.353</v>
      </c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5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150"/>
      <c r="HU54" s="150"/>
      <c r="HV54" s="150"/>
      <c r="HW54" s="150"/>
      <c r="HX54" s="150"/>
      <c r="HY54" s="150"/>
      <c r="HZ54" s="150"/>
      <c r="IA54" s="150"/>
      <c r="IB54" s="150"/>
      <c r="IC54" s="150"/>
      <c r="ID54" s="150"/>
      <c r="IE54" s="150"/>
      <c r="IF54" s="150"/>
      <c r="IG54" s="150"/>
      <c r="IH54" s="150"/>
      <c r="II54" s="150"/>
      <c r="IJ54" s="150"/>
      <c r="IK54" s="150"/>
      <c r="IL54" s="150"/>
      <c r="IM54" s="150"/>
      <c r="IN54" s="150"/>
      <c r="IO54" s="150"/>
      <c r="IP54" s="150"/>
      <c r="IQ54" s="150"/>
      <c r="IR54" s="150"/>
      <c r="IS54" s="150"/>
      <c r="IT54" s="150"/>
      <c r="IU54" s="150"/>
      <c r="IV54" s="150"/>
    </row>
    <row r="55" spans="1:256" ht="13.5" thickBot="1">
      <c r="A55" s="43" t="s">
        <v>67</v>
      </c>
      <c r="B55" s="60" t="s">
        <v>22</v>
      </c>
      <c r="C55" s="61" t="s">
        <v>2</v>
      </c>
      <c r="D55" s="44" t="s">
        <v>2</v>
      </c>
      <c r="E55" s="62">
        <v>4121</v>
      </c>
      <c r="F55" s="48"/>
      <c r="G55" s="97" t="s">
        <v>88</v>
      </c>
      <c r="H55" s="98">
        <v>24770</v>
      </c>
      <c r="I55" s="258">
        <f>24770+1009.91</f>
        <v>25779.91</v>
      </c>
      <c r="J55" s="274"/>
      <c r="K55" s="5">
        <f>I55+J55</f>
        <v>25779.91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11" ht="12.75">
      <c r="A56" s="81" t="s">
        <v>75</v>
      </c>
      <c r="B56" s="10" t="s">
        <v>4</v>
      </c>
      <c r="C56" s="9" t="s">
        <v>114</v>
      </c>
      <c r="D56" s="10" t="s">
        <v>2</v>
      </c>
      <c r="E56" s="10" t="s">
        <v>2</v>
      </c>
      <c r="F56" s="70" t="s">
        <v>2</v>
      </c>
      <c r="G56" s="99" t="s">
        <v>115</v>
      </c>
      <c r="H56" s="11">
        <f>SUM(H57:H57)</f>
        <v>0</v>
      </c>
      <c r="I56" s="80">
        <f>SUM(I57:I57)</f>
        <v>50.898</v>
      </c>
      <c r="J56" s="82">
        <f>SUM(J57:J57)</f>
        <v>0</v>
      </c>
      <c r="K56" s="11">
        <f>SUM(K57:K57)</f>
        <v>50.898</v>
      </c>
    </row>
    <row r="57" spans="1:11" ht="13.5" thickBot="1">
      <c r="A57" s="83"/>
      <c r="B57" s="17"/>
      <c r="C57" s="12"/>
      <c r="D57" s="13"/>
      <c r="E57" s="13">
        <v>4123</v>
      </c>
      <c r="F57" s="14" t="s">
        <v>89</v>
      </c>
      <c r="G57" s="84" t="s">
        <v>90</v>
      </c>
      <c r="H57" s="5">
        <v>0</v>
      </c>
      <c r="I57" s="15">
        <v>50.898</v>
      </c>
      <c r="J57" s="15"/>
      <c r="K57" s="4">
        <f>I57+J57</f>
        <v>50.898</v>
      </c>
    </row>
    <row r="58" spans="1:256" ht="13.5" thickBot="1">
      <c r="A58" s="43" t="s">
        <v>67</v>
      </c>
      <c r="B58" s="60" t="s">
        <v>22</v>
      </c>
      <c r="C58" s="267" t="s">
        <v>136</v>
      </c>
      <c r="D58" s="44" t="s">
        <v>2</v>
      </c>
      <c r="E58" s="62">
        <v>4129</v>
      </c>
      <c r="F58" s="48"/>
      <c r="G58" s="97" t="s">
        <v>137</v>
      </c>
      <c r="H58" s="98">
        <v>0</v>
      </c>
      <c r="I58" s="274">
        <v>46.162</v>
      </c>
      <c r="J58" s="94"/>
      <c r="K58" s="5">
        <f>I58+J58</f>
        <v>46.162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3.5" thickBot="1">
      <c r="A59" s="33" t="s">
        <v>2</v>
      </c>
      <c r="B59" s="34" t="s">
        <v>4</v>
      </c>
      <c r="C59" s="35" t="s">
        <v>2</v>
      </c>
      <c r="D59" s="36" t="s">
        <v>2</v>
      </c>
      <c r="E59" s="36" t="s">
        <v>91</v>
      </c>
      <c r="F59" s="37"/>
      <c r="G59" s="38" t="s">
        <v>92</v>
      </c>
      <c r="H59" s="109">
        <f>H60+H62+H64</f>
        <v>0</v>
      </c>
      <c r="I59" s="111">
        <f>I60+I62+I64</f>
        <v>81571.39792999999</v>
      </c>
      <c r="J59" s="109">
        <f>J60+J62+J64</f>
        <v>0</v>
      </c>
      <c r="K59" s="111">
        <f>K60+K62+K64</f>
        <v>81571.39792999999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11" ht="22.5">
      <c r="A60" s="124" t="s">
        <v>67</v>
      </c>
      <c r="B60" s="125" t="s">
        <v>4</v>
      </c>
      <c r="C60" s="126" t="s">
        <v>2</v>
      </c>
      <c r="D60" s="127" t="s">
        <v>2</v>
      </c>
      <c r="E60" s="127" t="s">
        <v>2</v>
      </c>
      <c r="F60" s="127" t="s">
        <v>2</v>
      </c>
      <c r="G60" s="95" t="s">
        <v>93</v>
      </c>
      <c r="H60" s="166">
        <f>SUM(H61:H61)</f>
        <v>0</v>
      </c>
      <c r="I60" s="129">
        <f>SUM(I61:I61)</f>
        <v>76564.575</v>
      </c>
      <c r="J60" s="129">
        <f>SUM(J61:J61)</f>
        <v>0</v>
      </c>
      <c r="K60" s="128">
        <f>SUM(K61:K61)</f>
        <v>76564.575</v>
      </c>
    </row>
    <row r="61" spans="1:11" ht="13.5" thickBot="1">
      <c r="A61" s="130"/>
      <c r="B61" s="131"/>
      <c r="C61" s="132"/>
      <c r="D61" s="133"/>
      <c r="E61" s="133">
        <v>4216</v>
      </c>
      <c r="F61" s="134" t="s">
        <v>94</v>
      </c>
      <c r="G61" s="96" t="s">
        <v>95</v>
      </c>
      <c r="H61" s="167">
        <v>0</v>
      </c>
      <c r="I61" s="215">
        <v>76564.575</v>
      </c>
      <c r="J61" s="137"/>
      <c r="K61" s="108">
        <f>I61+J61</f>
        <v>76564.575</v>
      </c>
    </row>
    <row r="62" spans="1:256" ht="12.75">
      <c r="A62" s="124" t="s">
        <v>75</v>
      </c>
      <c r="B62" s="125" t="s">
        <v>4</v>
      </c>
      <c r="C62" s="158" t="s">
        <v>112</v>
      </c>
      <c r="D62" s="127" t="s">
        <v>2</v>
      </c>
      <c r="E62" s="127" t="s">
        <v>2</v>
      </c>
      <c r="F62" s="127" t="s">
        <v>2</v>
      </c>
      <c r="G62" s="8" t="s">
        <v>116</v>
      </c>
      <c r="H62" s="166">
        <f>SUM(H63:H63)</f>
        <v>0</v>
      </c>
      <c r="I62" s="128">
        <f>SUM(I63:I63)</f>
        <v>1268.82293</v>
      </c>
      <c r="J62" s="128">
        <f>SUM(J63:J63)</f>
        <v>0</v>
      </c>
      <c r="K62" s="128">
        <f>SUM(K63:K63)</f>
        <v>1268.82293</v>
      </c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K62" s="150"/>
      <c r="DL62" s="150"/>
      <c r="DM62" s="150"/>
      <c r="DN62" s="150"/>
      <c r="DO62" s="150"/>
      <c r="DP62" s="150"/>
      <c r="DQ62" s="150"/>
      <c r="DR62" s="150"/>
      <c r="DS62" s="150"/>
      <c r="DT62" s="150"/>
      <c r="DU62" s="150"/>
      <c r="DV62" s="150"/>
      <c r="DW62" s="150"/>
      <c r="DX62" s="150"/>
      <c r="DY62" s="150"/>
      <c r="DZ62" s="150"/>
      <c r="EA62" s="150"/>
      <c r="EB62" s="150"/>
      <c r="EC62" s="150"/>
      <c r="ED62" s="150"/>
      <c r="EE62" s="150"/>
      <c r="EF62" s="150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150"/>
      <c r="FT62" s="150"/>
      <c r="FU62" s="150"/>
      <c r="FV62" s="150"/>
      <c r="FW62" s="150"/>
      <c r="FX62" s="150"/>
      <c r="FY62" s="150"/>
      <c r="FZ62" s="150"/>
      <c r="GA62" s="150"/>
      <c r="GB62" s="150"/>
      <c r="GC62" s="150"/>
      <c r="GD62" s="150"/>
      <c r="GE62" s="150"/>
      <c r="GF62" s="150"/>
      <c r="GG62" s="150"/>
      <c r="GH62" s="150"/>
      <c r="GI62" s="150"/>
      <c r="GJ62" s="150"/>
      <c r="GK62" s="150"/>
      <c r="GL62" s="150"/>
      <c r="GM62" s="150"/>
      <c r="GN62" s="150"/>
      <c r="GO62" s="150"/>
      <c r="GP62" s="150"/>
      <c r="GQ62" s="150"/>
      <c r="GR62" s="150"/>
      <c r="GS62" s="150"/>
      <c r="GT62" s="150"/>
      <c r="GU62" s="150"/>
      <c r="GV62" s="150"/>
      <c r="GW62" s="150"/>
      <c r="GX62" s="150"/>
      <c r="GY62" s="150"/>
      <c r="GZ62" s="150"/>
      <c r="HA62" s="150"/>
      <c r="HB62" s="150"/>
      <c r="HC62" s="150"/>
      <c r="HD62" s="150"/>
      <c r="HE62" s="150"/>
      <c r="HF62" s="150"/>
      <c r="HG62" s="150"/>
      <c r="HH62" s="150"/>
      <c r="HI62" s="150"/>
      <c r="HJ62" s="150"/>
      <c r="HK62" s="150"/>
      <c r="HL62" s="150"/>
      <c r="HM62" s="150"/>
      <c r="HN62" s="150"/>
      <c r="HO62" s="150"/>
      <c r="HP62" s="150"/>
      <c r="HQ62" s="150"/>
      <c r="HR62" s="150"/>
      <c r="HS62" s="150"/>
      <c r="HT62" s="150"/>
      <c r="HU62" s="150"/>
      <c r="HV62" s="150"/>
      <c r="HW62" s="150"/>
      <c r="HX62" s="150"/>
      <c r="HY62" s="150"/>
      <c r="HZ62" s="150"/>
      <c r="IA62" s="150"/>
      <c r="IB62" s="150"/>
      <c r="IC62" s="150"/>
      <c r="ID62" s="150"/>
      <c r="IE62" s="150"/>
      <c r="IF62" s="150"/>
      <c r="IG62" s="150"/>
      <c r="IH62" s="150"/>
      <c r="II62" s="150"/>
      <c r="IJ62" s="150"/>
      <c r="IK62" s="150"/>
      <c r="IL62" s="150"/>
      <c r="IM62" s="150"/>
      <c r="IN62" s="150"/>
      <c r="IO62" s="150"/>
      <c r="IP62" s="150"/>
      <c r="IQ62" s="150"/>
      <c r="IR62" s="150"/>
      <c r="IS62" s="150"/>
      <c r="IT62" s="150"/>
      <c r="IU62" s="150"/>
      <c r="IV62" s="150"/>
    </row>
    <row r="63" spans="1:256" ht="23.25" thickBot="1">
      <c r="A63" s="130"/>
      <c r="B63" s="131"/>
      <c r="C63" s="132"/>
      <c r="D63" s="133"/>
      <c r="E63" s="133">
        <v>4216</v>
      </c>
      <c r="F63" s="134" t="s">
        <v>117</v>
      </c>
      <c r="G63" s="96" t="s">
        <v>95</v>
      </c>
      <c r="H63" s="167">
        <v>0</v>
      </c>
      <c r="I63" s="215">
        <v>1268.82293</v>
      </c>
      <c r="J63" s="145"/>
      <c r="K63" s="108">
        <f>I63+J63</f>
        <v>1268.82293</v>
      </c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  <c r="HB63" s="150"/>
      <c r="HC63" s="150"/>
      <c r="HD63" s="150"/>
      <c r="HE63" s="150"/>
      <c r="HF63" s="150"/>
      <c r="HG63" s="150"/>
      <c r="HH63" s="150"/>
      <c r="HI63" s="150"/>
      <c r="HJ63" s="150"/>
      <c r="HK63" s="150"/>
      <c r="HL63" s="150"/>
      <c r="HM63" s="150"/>
      <c r="HN63" s="150"/>
      <c r="HO63" s="150"/>
      <c r="HP63" s="150"/>
      <c r="HQ63" s="150"/>
      <c r="HR63" s="150"/>
      <c r="HS63" s="150"/>
      <c r="HT63" s="150"/>
      <c r="HU63" s="150"/>
      <c r="HV63" s="150"/>
      <c r="HW63" s="150"/>
      <c r="HX63" s="150"/>
      <c r="HY63" s="150"/>
      <c r="HZ63" s="150"/>
      <c r="IA63" s="150"/>
      <c r="IB63" s="150"/>
      <c r="IC63" s="150"/>
      <c r="ID63" s="150"/>
      <c r="IE63" s="150"/>
      <c r="IF63" s="150"/>
      <c r="IG63" s="150"/>
      <c r="IH63" s="150"/>
      <c r="II63" s="150"/>
      <c r="IJ63" s="150"/>
      <c r="IK63" s="150"/>
      <c r="IL63" s="150"/>
      <c r="IM63" s="150"/>
      <c r="IN63" s="150"/>
      <c r="IO63" s="150"/>
      <c r="IP63" s="150"/>
      <c r="IQ63" s="150"/>
      <c r="IR63" s="150"/>
      <c r="IS63" s="150"/>
      <c r="IT63" s="150"/>
      <c r="IU63" s="150"/>
      <c r="IV63" s="150"/>
    </row>
    <row r="64" spans="1:256" ht="12.75">
      <c r="A64" s="157" t="s">
        <v>75</v>
      </c>
      <c r="B64" s="148" t="s">
        <v>4</v>
      </c>
      <c r="C64" s="158" t="s">
        <v>96</v>
      </c>
      <c r="D64" s="148" t="s">
        <v>2</v>
      </c>
      <c r="E64" s="148" t="s">
        <v>2</v>
      </c>
      <c r="F64" s="127" t="s">
        <v>2</v>
      </c>
      <c r="G64" s="100" t="s">
        <v>61</v>
      </c>
      <c r="H64" s="169">
        <f>SUM(H65:H65)</f>
        <v>0</v>
      </c>
      <c r="I64" s="128">
        <f>SUM(I65:I65)</f>
        <v>3738</v>
      </c>
      <c r="J64" s="129">
        <f>SUM(J65:J65)</f>
        <v>0</v>
      </c>
      <c r="K64" s="159">
        <f>SUM(K65:K65)</f>
        <v>3738</v>
      </c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  <c r="CM64" s="150"/>
      <c r="CN64" s="150"/>
      <c r="CO64" s="150"/>
      <c r="CP64" s="150"/>
      <c r="CQ64" s="150"/>
      <c r="CR64" s="150"/>
      <c r="CS64" s="150"/>
      <c r="CT64" s="150"/>
      <c r="CU64" s="150"/>
      <c r="CV64" s="150"/>
      <c r="CW64" s="150"/>
      <c r="CX64" s="150"/>
      <c r="CY64" s="150"/>
      <c r="CZ64" s="150"/>
      <c r="DA64" s="150"/>
      <c r="DB64" s="150"/>
      <c r="DC64" s="150"/>
      <c r="DD64" s="150"/>
      <c r="DE64" s="150"/>
      <c r="DF64" s="150"/>
      <c r="DG64" s="150"/>
      <c r="DH64" s="150"/>
      <c r="DI64" s="150"/>
      <c r="DJ64" s="150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0"/>
      <c r="DV64" s="150"/>
      <c r="DW64" s="150"/>
      <c r="DX64" s="150"/>
      <c r="DY64" s="150"/>
      <c r="DZ64" s="150"/>
      <c r="EA64" s="150"/>
      <c r="EB64" s="150"/>
      <c r="EC64" s="150"/>
      <c r="ED64" s="150"/>
      <c r="EE64" s="150"/>
      <c r="EF64" s="150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0"/>
      <c r="HB64" s="150"/>
      <c r="HC64" s="150"/>
      <c r="HD64" s="150"/>
      <c r="HE64" s="150"/>
      <c r="HF64" s="150"/>
      <c r="HG64" s="150"/>
      <c r="HH64" s="150"/>
      <c r="HI64" s="150"/>
      <c r="HJ64" s="150"/>
      <c r="HK64" s="150"/>
      <c r="HL64" s="150"/>
      <c r="HM64" s="150"/>
      <c r="HN64" s="150"/>
      <c r="HO64" s="150"/>
      <c r="HP64" s="150"/>
      <c r="HQ64" s="150"/>
      <c r="HR64" s="150"/>
      <c r="HS64" s="150"/>
      <c r="HT64" s="150"/>
      <c r="HU64" s="150"/>
      <c r="HV64" s="150"/>
      <c r="HW64" s="150"/>
      <c r="HX64" s="150"/>
      <c r="HY64" s="150"/>
      <c r="HZ64" s="150"/>
      <c r="IA64" s="150"/>
      <c r="IB64" s="150"/>
      <c r="IC64" s="150"/>
      <c r="ID64" s="150"/>
      <c r="IE64" s="150"/>
      <c r="IF64" s="150"/>
      <c r="IG64" s="150"/>
      <c r="IH64" s="150"/>
      <c r="II64" s="150"/>
      <c r="IJ64" s="150"/>
      <c r="IK64" s="150"/>
      <c r="IL64" s="150"/>
      <c r="IM64" s="150"/>
      <c r="IN64" s="150"/>
      <c r="IO64" s="150"/>
      <c r="IP64" s="150"/>
      <c r="IQ64" s="150"/>
      <c r="IR64" s="150"/>
      <c r="IS64" s="150"/>
      <c r="IT64" s="150"/>
      <c r="IU64" s="150"/>
      <c r="IV64" s="150"/>
    </row>
    <row r="65" spans="1:256" ht="13.5" thickBot="1">
      <c r="A65" s="160"/>
      <c r="B65" s="161"/>
      <c r="C65" s="162"/>
      <c r="D65" s="163"/>
      <c r="E65" s="163">
        <v>4221</v>
      </c>
      <c r="F65" s="170"/>
      <c r="G65" s="101" t="s">
        <v>97</v>
      </c>
      <c r="H65" s="171">
        <v>0</v>
      </c>
      <c r="I65" s="165">
        <v>3738</v>
      </c>
      <c r="J65" s="165"/>
      <c r="K65" s="108">
        <f>I65+J65</f>
        <v>3738</v>
      </c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50"/>
      <c r="FL65" s="150"/>
      <c r="FM65" s="150"/>
      <c r="FN65" s="150"/>
      <c r="FO65" s="150"/>
      <c r="FP65" s="150"/>
      <c r="FQ65" s="150"/>
      <c r="FR65" s="150"/>
      <c r="FS65" s="150"/>
      <c r="FT65" s="150"/>
      <c r="FU65" s="150"/>
      <c r="FV65" s="150"/>
      <c r="FW65" s="150"/>
      <c r="FX65" s="150"/>
      <c r="FY65" s="150"/>
      <c r="FZ65" s="150"/>
      <c r="GA65" s="150"/>
      <c r="GB65" s="150"/>
      <c r="GC65" s="150"/>
      <c r="GD65" s="150"/>
      <c r="GE65" s="150"/>
      <c r="GF65" s="150"/>
      <c r="GG65" s="150"/>
      <c r="GH65" s="150"/>
      <c r="GI65" s="150"/>
      <c r="GJ65" s="150"/>
      <c r="GK65" s="150"/>
      <c r="GL65" s="150"/>
      <c r="GM65" s="150"/>
      <c r="GN65" s="150"/>
      <c r="GO65" s="150"/>
      <c r="GP65" s="150"/>
      <c r="GQ65" s="150"/>
      <c r="GR65" s="150"/>
      <c r="GS65" s="150"/>
      <c r="GT65" s="150"/>
      <c r="GU65" s="150"/>
      <c r="GV65" s="150"/>
      <c r="GW65" s="150"/>
      <c r="GX65" s="150"/>
      <c r="GY65" s="150"/>
      <c r="GZ65" s="150"/>
      <c r="HA65" s="150"/>
      <c r="HB65" s="150"/>
      <c r="HC65" s="150"/>
      <c r="HD65" s="150"/>
      <c r="HE65" s="150"/>
      <c r="HF65" s="150"/>
      <c r="HG65" s="150"/>
      <c r="HH65" s="150"/>
      <c r="HI65" s="150"/>
      <c r="HJ65" s="150"/>
      <c r="HK65" s="150"/>
      <c r="HL65" s="150"/>
      <c r="HM65" s="150"/>
      <c r="HN65" s="150"/>
      <c r="HO65" s="150"/>
      <c r="HP65" s="150"/>
      <c r="HQ65" s="150"/>
      <c r="HR65" s="150"/>
      <c r="HS65" s="150"/>
      <c r="HT65" s="150"/>
      <c r="HU65" s="150"/>
      <c r="HV65" s="150"/>
      <c r="HW65" s="150"/>
      <c r="HX65" s="150"/>
      <c r="HY65" s="150"/>
      <c r="HZ65" s="150"/>
      <c r="IA65" s="150"/>
      <c r="IB65" s="150"/>
      <c r="IC65" s="150"/>
      <c r="ID65" s="150"/>
      <c r="IE65" s="150"/>
      <c r="IF65" s="150"/>
      <c r="IG65" s="150"/>
      <c r="IH65" s="150"/>
      <c r="II65" s="150"/>
      <c r="IJ65" s="150"/>
      <c r="IK65" s="150"/>
      <c r="IL65" s="150"/>
      <c r="IM65" s="150"/>
      <c r="IN65" s="150"/>
      <c r="IO65" s="150"/>
      <c r="IP65" s="150"/>
      <c r="IQ65" s="150"/>
      <c r="IR65" s="150"/>
      <c r="IS65" s="150"/>
      <c r="IT65" s="150"/>
      <c r="IU65" s="150"/>
      <c r="IV65" s="150"/>
    </row>
  </sheetData>
  <sheetProtection/>
  <mergeCells count="12">
    <mergeCell ref="C5:C6"/>
    <mergeCell ref="D5:D6"/>
    <mergeCell ref="E5:E6"/>
    <mergeCell ref="F5:F6"/>
    <mergeCell ref="A1:K1"/>
    <mergeCell ref="A3:K3"/>
    <mergeCell ref="I5:I6"/>
    <mergeCell ref="J5:K5"/>
    <mergeCell ref="G5:G6"/>
    <mergeCell ref="H5:H6"/>
    <mergeCell ref="A5:A6"/>
    <mergeCell ref="B5:B6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90" r:id="rId1"/>
  <headerFooter alignWithMargins="0">
    <oddHeader>&amp;R&amp;F</oddHeader>
    <oddFooter>&amp;C&amp;A</oddFooter>
  </headerFooter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75"/>
  <sheetViews>
    <sheetView tabSelected="1"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373" sqref="E373"/>
    </sheetView>
  </sheetViews>
  <sheetFormatPr defaultColWidth="9.140625" defaultRowHeight="12.75"/>
  <cols>
    <col min="1" max="1" width="3.8515625" style="20" customWidth="1"/>
    <col min="2" max="2" width="3.421875" style="20" bestFit="1" customWidth="1"/>
    <col min="3" max="3" width="10.00390625" style="20" bestFit="1" customWidth="1"/>
    <col min="4" max="4" width="5.57421875" style="394" customWidth="1"/>
    <col min="5" max="5" width="5.7109375" style="394" customWidth="1"/>
    <col min="6" max="6" width="40.00390625" style="394" customWidth="1"/>
    <col min="7" max="7" width="8.421875" style="394" customWidth="1"/>
    <col min="8" max="8" width="8.140625" style="394" customWidth="1"/>
    <col min="9" max="9" width="9.8515625" style="394" customWidth="1"/>
    <col min="10" max="10" width="10.00390625" style="394" customWidth="1"/>
    <col min="11" max="16384" width="9.140625" style="20" customWidth="1"/>
  </cols>
  <sheetData>
    <row r="1" spans="1:10" ht="18">
      <c r="A1" s="444" t="s">
        <v>153</v>
      </c>
      <c r="B1" s="444"/>
      <c r="C1" s="444"/>
      <c r="D1" s="444"/>
      <c r="E1" s="444"/>
      <c r="F1" s="444"/>
      <c r="G1" s="444"/>
      <c r="H1" s="444"/>
      <c r="I1" s="444"/>
      <c r="J1" s="444"/>
    </row>
    <row r="2" spans="1:10" ht="12.75">
      <c r="A2" s="277"/>
      <c r="B2" s="277"/>
      <c r="C2" s="277"/>
      <c r="D2" s="278"/>
      <c r="E2" s="278"/>
      <c r="F2" s="278"/>
      <c r="G2" s="278"/>
      <c r="H2" s="278"/>
      <c r="I2" s="279"/>
      <c r="J2" s="279"/>
    </row>
    <row r="3" spans="1:10" ht="15.75">
      <c r="A3" s="445" t="s">
        <v>154</v>
      </c>
      <c r="B3" s="445"/>
      <c r="C3" s="445"/>
      <c r="D3" s="445"/>
      <c r="E3" s="445"/>
      <c r="F3" s="445"/>
      <c r="G3" s="445"/>
      <c r="H3" s="445"/>
      <c r="I3" s="445"/>
      <c r="J3" s="445"/>
    </row>
    <row r="4" spans="1:10" ht="13.5" thickBot="1">
      <c r="A4" s="280"/>
      <c r="B4" s="280"/>
      <c r="C4" s="280"/>
      <c r="D4" s="281"/>
      <c r="E4" s="281"/>
      <c r="F4" s="281"/>
      <c r="G4" s="281"/>
      <c r="H4" s="281"/>
      <c r="I4" s="281"/>
      <c r="J4" s="282" t="s">
        <v>155</v>
      </c>
    </row>
    <row r="5" spans="1:10" ht="12.75" customHeight="1" thickBot="1">
      <c r="A5" s="448" t="s">
        <v>156</v>
      </c>
      <c r="B5" s="448" t="s">
        <v>3</v>
      </c>
      <c r="C5" s="451" t="s">
        <v>5</v>
      </c>
      <c r="D5" s="453" t="s">
        <v>6</v>
      </c>
      <c r="E5" s="453" t="s">
        <v>7</v>
      </c>
      <c r="F5" s="458" t="s">
        <v>157</v>
      </c>
      <c r="G5" s="460" t="s">
        <v>99</v>
      </c>
      <c r="H5" s="462" t="s">
        <v>100</v>
      </c>
      <c r="I5" s="446" t="s">
        <v>379</v>
      </c>
      <c r="J5" s="447"/>
    </row>
    <row r="6" spans="1:10" ht="12.75" customHeight="1" thickBot="1">
      <c r="A6" s="449"/>
      <c r="B6" s="450"/>
      <c r="C6" s="452"/>
      <c r="D6" s="454"/>
      <c r="E6" s="454"/>
      <c r="F6" s="459"/>
      <c r="G6" s="461"/>
      <c r="H6" s="463"/>
      <c r="I6" s="283" t="s">
        <v>21</v>
      </c>
      <c r="J6" s="284" t="s">
        <v>101</v>
      </c>
    </row>
    <row r="7" spans="1:10" ht="12.75" customHeight="1" thickBot="1">
      <c r="A7" s="285">
        <v>920</v>
      </c>
      <c r="B7" s="286" t="s">
        <v>4</v>
      </c>
      <c r="C7" s="287" t="s">
        <v>5</v>
      </c>
      <c r="D7" s="288" t="s">
        <v>6</v>
      </c>
      <c r="E7" s="288" t="s">
        <v>7</v>
      </c>
      <c r="F7" s="289" t="s">
        <v>158</v>
      </c>
      <c r="G7" s="290">
        <f>G8+G10+G12+G14+G16+G18+G21+G24+G26+G29+G31+G33+G35+G37+G39+G41+G43+G45+G47+G49+G373</f>
        <v>125605</v>
      </c>
      <c r="H7" s="290">
        <f>H8+H10+H12+H14+H16+H18+H21+H24+H26+H29+H31+H33+H35+H37+H39+H41+H43+H45+H47+H49+H373</f>
        <v>611256.74464</v>
      </c>
      <c r="I7" s="425">
        <f>I8+I10+I12+I14+I16+I18+I21+I24+I26+I29+I31+I33+I35+I37+I39+I41+I43+I45+I47+I49+I373</f>
        <v>8163.141</v>
      </c>
      <c r="J7" s="2">
        <f>J8+J10+J12+J14+J16+J18+J21+J24+J26+J29+J31+J33+J35+J37+J39+J41+J43+J45+J47+J49+J373</f>
        <v>619419.88564</v>
      </c>
    </row>
    <row r="8" spans="1:10" ht="12" customHeight="1">
      <c r="A8" s="455" t="s">
        <v>53</v>
      </c>
      <c r="B8" s="291" t="s">
        <v>4</v>
      </c>
      <c r="C8" s="292" t="s">
        <v>159</v>
      </c>
      <c r="D8" s="293" t="s">
        <v>2</v>
      </c>
      <c r="E8" s="293" t="s">
        <v>2</v>
      </c>
      <c r="F8" s="294" t="s">
        <v>160</v>
      </c>
      <c r="G8" s="295">
        <f>SUM(G9:G9)</f>
        <v>500</v>
      </c>
      <c r="H8" s="296">
        <f>SUM(H9:H9)</f>
        <v>7500</v>
      </c>
      <c r="I8" s="296">
        <f>SUM(I9:I9)</f>
        <v>0</v>
      </c>
      <c r="J8" s="295">
        <f>SUM(J9:J9)</f>
        <v>7500</v>
      </c>
    </row>
    <row r="9" spans="1:10" ht="12" customHeight="1" thickBot="1">
      <c r="A9" s="456"/>
      <c r="B9" s="297"/>
      <c r="C9" s="298"/>
      <c r="D9" s="299">
        <v>2212</v>
      </c>
      <c r="E9" s="299">
        <v>6130</v>
      </c>
      <c r="F9" s="300" t="s">
        <v>161</v>
      </c>
      <c r="G9" s="4">
        <v>500</v>
      </c>
      <c r="H9" s="301">
        <f>500+7000</f>
        <v>7500</v>
      </c>
      <c r="I9" s="301"/>
      <c r="J9" s="4">
        <f>H9+I9</f>
        <v>7500</v>
      </c>
    </row>
    <row r="10" spans="1:10" ht="22.5">
      <c r="A10" s="456"/>
      <c r="B10" s="302" t="s">
        <v>4</v>
      </c>
      <c r="C10" s="303" t="s">
        <v>162</v>
      </c>
      <c r="D10" s="304" t="s">
        <v>2</v>
      </c>
      <c r="E10" s="304" t="s">
        <v>2</v>
      </c>
      <c r="F10" s="305" t="s">
        <v>373</v>
      </c>
      <c r="G10" s="296">
        <f>G11</f>
        <v>0</v>
      </c>
      <c r="H10" s="296">
        <f>SUM(H11:H11)</f>
        <v>368.469</v>
      </c>
      <c r="I10" s="296">
        <f>SUM(I11:I11)</f>
        <v>0</v>
      </c>
      <c r="J10" s="295">
        <f>J11</f>
        <v>368.469</v>
      </c>
    </row>
    <row r="11" spans="1:10" ht="12" customHeight="1" thickBot="1">
      <c r="A11" s="456"/>
      <c r="B11" s="306"/>
      <c r="C11" s="307"/>
      <c r="D11" s="308">
        <v>2212</v>
      </c>
      <c r="E11" s="309">
        <v>5171</v>
      </c>
      <c r="F11" s="269" t="s">
        <v>138</v>
      </c>
      <c r="G11" s="310">
        <v>0</v>
      </c>
      <c r="H11" s="7">
        <v>368.469</v>
      </c>
      <c r="I11" s="7"/>
      <c r="J11" s="4">
        <f>H11+I11</f>
        <v>368.469</v>
      </c>
    </row>
    <row r="12" spans="1:10" ht="12" customHeight="1">
      <c r="A12" s="456"/>
      <c r="B12" s="302" t="s">
        <v>4</v>
      </c>
      <c r="C12" s="303" t="s">
        <v>163</v>
      </c>
      <c r="D12" s="304" t="s">
        <v>2</v>
      </c>
      <c r="E12" s="304" t="s">
        <v>2</v>
      </c>
      <c r="F12" s="311" t="s">
        <v>164</v>
      </c>
      <c r="G12" s="296">
        <f>G13</f>
        <v>0</v>
      </c>
      <c r="H12" s="296">
        <f>SUM(H13:H13)</f>
        <v>60</v>
      </c>
      <c r="I12" s="296">
        <f>SUM(I13:I13)</f>
        <v>0</v>
      </c>
      <c r="J12" s="295">
        <f>J13</f>
        <v>60</v>
      </c>
    </row>
    <row r="13" spans="1:10" ht="12" customHeight="1" thickBot="1">
      <c r="A13" s="456"/>
      <c r="B13" s="306"/>
      <c r="C13" s="307"/>
      <c r="D13" s="308">
        <v>2212</v>
      </c>
      <c r="E13" s="309">
        <v>6121</v>
      </c>
      <c r="F13" s="269" t="s">
        <v>138</v>
      </c>
      <c r="G13" s="310">
        <v>0</v>
      </c>
      <c r="H13" s="7">
        <v>60</v>
      </c>
      <c r="I13" s="7"/>
      <c r="J13" s="4">
        <f>H13+I13</f>
        <v>60</v>
      </c>
    </row>
    <row r="14" spans="1:10" ht="12" customHeight="1">
      <c r="A14" s="456"/>
      <c r="B14" s="302" t="s">
        <v>4</v>
      </c>
      <c r="C14" s="312" t="s">
        <v>165</v>
      </c>
      <c r="D14" s="304" t="s">
        <v>2</v>
      </c>
      <c r="E14" s="304" t="s">
        <v>2</v>
      </c>
      <c r="F14" s="313" t="s">
        <v>166</v>
      </c>
      <c r="G14" s="296">
        <f>G15</f>
        <v>0</v>
      </c>
      <c r="H14" s="296">
        <f>H15</f>
        <v>43.2</v>
      </c>
      <c r="I14" s="296">
        <f>SUM(I15:I15)</f>
        <v>0</v>
      </c>
      <c r="J14" s="295">
        <f>J15</f>
        <v>43.2</v>
      </c>
    </row>
    <row r="15" spans="1:10" ht="12" customHeight="1" thickBot="1">
      <c r="A15" s="456"/>
      <c r="B15" s="306"/>
      <c r="C15" s="307"/>
      <c r="D15" s="308">
        <v>2212</v>
      </c>
      <c r="E15" s="299">
        <v>6119</v>
      </c>
      <c r="F15" s="314" t="s">
        <v>167</v>
      </c>
      <c r="G15" s="310">
        <v>0</v>
      </c>
      <c r="H15" s="310">
        <v>43.2</v>
      </c>
      <c r="I15" s="7"/>
      <c r="J15" s="4">
        <f>H15+I15</f>
        <v>43.2</v>
      </c>
    </row>
    <row r="16" spans="1:10" ht="12" customHeight="1">
      <c r="A16" s="456"/>
      <c r="B16" s="302" t="s">
        <v>4</v>
      </c>
      <c r="C16" s="312" t="s">
        <v>168</v>
      </c>
      <c r="D16" s="304" t="s">
        <v>2</v>
      </c>
      <c r="E16" s="304" t="s">
        <v>2</v>
      </c>
      <c r="F16" s="313" t="s">
        <v>169</v>
      </c>
      <c r="G16" s="296">
        <f>G17</f>
        <v>0</v>
      </c>
      <c r="H16" s="296">
        <f>H17</f>
        <v>39.97973999999999</v>
      </c>
      <c r="I16" s="296">
        <f>SUM(I17:I17)</f>
        <v>0</v>
      </c>
      <c r="J16" s="295">
        <f>J17</f>
        <v>39.97973999999999</v>
      </c>
    </row>
    <row r="17" spans="1:10" ht="12" customHeight="1" thickBot="1">
      <c r="A17" s="456"/>
      <c r="B17" s="306"/>
      <c r="C17" s="307"/>
      <c r="D17" s="308">
        <v>2212</v>
      </c>
      <c r="E17" s="299">
        <v>6121</v>
      </c>
      <c r="F17" s="315" t="s">
        <v>138</v>
      </c>
      <c r="G17" s="310">
        <v>0</v>
      </c>
      <c r="H17" s="316">
        <f>92.64974-50.5-2.17</f>
        <v>39.97973999999999</v>
      </c>
      <c r="I17" s="7"/>
      <c r="J17" s="4">
        <f>H17+I17</f>
        <v>39.97973999999999</v>
      </c>
    </row>
    <row r="18" spans="1:10" ht="12" customHeight="1">
      <c r="A18" s="456"/>
      <c r="B18" s="317" t="s">
        <v>4</v>
      </c>
      <c r="C18" s="312" t="s">
        <v>170</v>
      </c>
      <c r="D18" s="318" t="s">
        <v>2</v>
      </c>
      <c r="E18" s="318" t="s">
        <v>2</v>
      </c>
      <c r="F18" s="319" t="s">
        <v>171</v>
      </c>
      <c r="G18" s="295">
        <f>SUM(G19:G20)</f>
        <v>0</v>
      </c>
      <c r="H18" s="105">
        <f>SUM(H19:H20)</f>
        <v>38914.58899999999</v>
      </c>
      <c r="I18" s="105">
        <f>SUM(I19:I20)</f>
        <v>0</v>
      </c>
      <c r="J18" s="105">
        <f>SUM(J19:J20)</f>
        <v>38914.58899999999</v>
      </c>
    </row>
    <row r="19" spans="1:10" ht="12" customHeight="1">
      <c r="A19" s="456"/>
      <c r="B19" s="320"/>
      <c r="C19" s="321"/>
      <c r="D19" s="309">
        <v>2212</v>
      </c>
      <c r="E19" s="309">
        <v>6121</v>
      </c>
      <c r="F19" s="269" t="s">
        <v>138</v>
      </c>
      <c r="G19" s="7">
        <v>0</v>
      </c>
      <c r="H19" s="7">
        <v>26345.38</v>
      </c>
      <c r="I19" s="7"/>
      <c r="J19" s="7">
        <f>H19+I19</f>
        <v>26345.38</v>
      </c>
    </row>
    <row r="20" spans="1:10" ht="12" customHeight="1" thickBot="1">
      <c r="A20" s="456"/>
      <c r="B20" s="322"/>
      <c r="C20" s="323" t="s">
        <v>172</v>
      </c>
      <c r="D20" s="308">
        <v>2212</v>
      </c>
      <c r="E20" s="17">
        <v>6121</v>
      </c>
      <c r="F20" s="270" t="s">
        <v>173</v>
      </c>
      <c r="G20" s="310">
        <v>0</v>
      </c>
      <c r="H20" s="310">
        <f>48122.829-35553.62</f>
        <v>12569.208999999995</v>
      </c>
      <c r="I20" s="271"/>
      <c r="J20" s="16">
        <f>H20+I20</f>
        <v>12569.208999999995</v>
      </c>
    </row>
    <row r="21" spans="1:10" ht="12" customHeight="1">
      <c r="A21" s="456"/>
      <c r="B21" s="317" t="s">
        <v>4</v>
      </c>
      <c r="C21" s="312" t="s">
        <v>174</v>
      </c>
      <c r="D21" s="318" t="s">
        <v>2</v>
      </c>
      <c r="E21" s="318" t="s">
        <v>2</v>
      </c>
      <c r="F21" s="324" t="s">
        <v>175</v>
      </c>
      <c r="G21" s="295">
        <f>SUM(G22:G23)</f>
        <v>14090</v>
      </c>
      <c r="H21" s="105">
        <f>SUM(H22:H23)</f>
        <v>98096.338</v>
      </c>
      <c r="I21" s="105">
        <f>SUM(I22:I23)</f>
        <v>0</v>
      </c>
      <c r="J21" s="105">
        <f>SUM(J22:J23)</f>
        <v>98096.338</v>
      </c>
    </row>
    <row r="22" spans="1:10" ht="12" customHeight="1">
      <c r="A22" s="456"/>
      <c r="B22" s="320"/>
      <c r="C22" s="321"/>
      <c r="D22" s="309">
        <v>2212</v>
      </c>
      <c r="E22" s="309">
        <v>6121</v>
      </c>
      <c r="F22" s="269" t="s">
        <v>138</v>
      </c>
      <c r="G22" s="7">
        <v>14090</v>
      </c>
      <c r="H22" s="7">
        <f>14090+75470.03</f>
        <v>89560.03</v>
      </c>
      <c r="I22" s="7"/>
      <c r="J22" s="7">
        <f>H22+I22</f>
        <v>89560.03</v>
      </c>
    </row>
    <row r="23" spans="1:10" ht="12" customHeight="1" thickBot="1">
      <c r="A23" s="456"/>
      <c r="B23" s="322"/>
      <c r="C23" s="323" t="s">
        <v>172</v>
      </c>
      <c r="D23" s="308">
        <v>2212</v>
      </c>
      <c r="E23" s="17">
        <v>6121</v>
      </c>
      <c r="F23" s="270" t="s">
        <v>173</v>
      </c>
      <c r="G23" s="310">
        <v>0</v>
      </c>
      <c r="H23" s="310">
        <f>92309.827-83773.519</f>
        <v>8536.308000000005</v>
      </c>
      <c r="I23" s="271"/>
      <c r="J23" s="16">
        <f>H23+I23</f>
        <v>8536.308000000005</v>
      </c>
    </row>
    <row r="24" spans="1:10" ht="24.75" customHeight="1">
      <c r="A24" s="456"/>
      <c r="B24" s="317" t="s">
        <v>4</v>
      </c>
      <c r="C24" s="312" t="s">
        <v>176</v>
      </c>
      <c r="D24" s="318" t="s">
        <v>2</v>
      </c>
      <c r="E24" s="318" t="s">
        <v>2</v>
      </c>
      <c r="F24" s="313" t="s">
        <v>177</v>
      </c>
      <c r="G24" s="296">
        <f>SUM(G25:G25)</f>
        <v>36310</v>
      </c>
      <c r="H24" s="296">
        <f>SUM(H25:H25)</f>
        <v>69775.03</v>
      </c>
      <c r="I24" s="296">
        <f>SUM(I25:I25)</f>
        <v>0</v>
      </c>
      <c r="J24" s="295">
        <f>J25</f>
        <v>69775.03</v>
      </c>
    </row>
    <row r="25" spans="1:10" ht="12" customHeight="1" thickBot="1">
      <c r="A25" s="456"/>
      <c r="B25" s="320"/>
      <c r="C25" s="325"/>
      <c r="D25" s="309">
        <v>2212</v>
      </c>
      <c r="E25" s="309">
        <v>6121</v>
      </c>
      <c r="F25" s="269" t="s">
        <v>138</v>
      </c>
      <c r="G25" s="7">
        <v>36310</v>
      </c>
      <c r="H25" s="7">
        <f>36310+33465.03</f>
        <v>69775.03</v>
      </c>
      <c r="I25" s="7"/>
      <c r="J25" s="4">
        <f>H25+I25</f>
        <v>69775.03</v>
      </c>
    </row>
    <row r="26" spans="1:10" ht="24.75" customHeight="1">
      <c r="A26" s="456"/>
      <c r="B26" s="317" t="s">
        <v>4</v>
      </c>
      <c r="C26" s="312" t="s">
        <v>178</v>
      </c>
      <c r="D26" s="318" t="s">
        <v>2</v>
      </c>
      <c r="E26" s="318" t="s">
        <v>2</v>
      </c>
      <c r="F26" s="313" t="s">
        <v>179</v>
      </c>
      <c r="G26" s="295">
        <f>SUM(G27:G28)</f>
        <v>17205</v>
      </c>
      <c r="H26" s="105">
        <f>SUM(H27:H28)</f>
        <v>95864.098</v>
      </c>
      <c r="I26" s="105">
        <f>SUM(I27:I28)</f>
        <v>0</v>
      </c>
      <c r="J26" s="105">
        <f>SUM(J27:J28)</f>
        <v>95864.098</v>
      </c>
    </row>
    <row r="27" spans="1:10" ht="12" customHeight="1">
      <c r="A27" s="456"/>
      <c r="B27" s="320"/>
      <c r="C27" s="326"/>
      <c r="D27" s="309">
        <v>2212</v>
      </c>
      <c r="E27" s="309">
        <v>6121</v>
      </c>
      <c r="F27" s="269" t="s">
        <v>138</v>
      </c>
      <c r="G27" s="7">
        <v>17205</v>
      </c>
      <c r="H27" s="7">
        <f>17205+23200.04</f>
        <v>40405.04</v>
      </c>
      <c r="I27" s="7"/>
      <c r="J27" s="7">
        <f>H27+I27</f>
        <v>40405.04</v>
      </c>
    </row>
    <row r="28" spans="1:10" ht="12" customHeight="1" thickBot="1">
      <c r="A28" s="456"/>
      <c r="B28" s="322"/>
      <c r="C28" s="323" t="s">
        <v>172</v>
      </c>
      <c r="D28" s="308">
        <v>2212</v>
      </c>
      <c r="E28" s="17">
        <v>6121</v>
      </c>
      <c r="F28" s="270" t="s">
        <v>173</v>
      </c>
      <c r="G28" s="310">
        <v>0</v>
      </c>
      <c r="H28" s="310">
        <f>80090.632-24631.574</f>
        <v>55459.058</v>
      </c>
      <c r="I28" s="271"/>
      <c r="J28" s="16">
        <f>H28+I28</f>
        <v>55459.058</v>
      </c>
    </row>
    <row r="29" spans="1:10" ht="24.75" customHeight="1">
      <c r="A29" s="456"/>
      <c r="B29" s="327" t="s">
        <v>4</v>
      </c>
      <c r="C29" s="312" t="s">
        <v>180</v>
      </c>
      <c r="D29" s="304" t="s">
        <v>2</v>
      </c>
      <c r="E29" s="304" t="s">
        <v>2</v>
      </c>
      <c r="F29" s="313" t="s">
        <v>181</v>
      </c>
      <c r="G29" s="295">
        <f>SUM(G30:G30)</f>
        <v>0</v>
      </c>
      <c r="H29" s="295">
        <f>SUM(H30:H30)</f>
        <v>605</v>
      </c>
      <c r="I29" s="296">
        <f>SUM(I30:I30)</f>
        <v>0</v>
      </c>
      <c r="J29" s="295">
        <f>J30</f>
        <v>605</v>
      </c>
    </row>
    <row r="30" spans="1:10" ht="12" customHeight="1" thickBot="1">
      <c r="A30" s="456"/>
      <c r="B30" s="328"/>
      <c r="C30" s="325"/>
      <c r="D30" s="308">
        <v>2242</v>
      </c>
      <c r="E30" s="299">
        <v>6119</v>
      </c>
      <c r="F30" s="314" t="s">
        <v>167</v>
      </c>
      <c r="G30" s="4">
        <v>0</v>
      </c>
      <c r="H30" s="4">
        <v>605</v>
      </c>
      <c r="I30" s="301"/>
      <c r="J30" s="4">
        <f>H30+I30</f>
        <v>605</v>
      </c>
    </row>
    <row r="31" spans="1:10" ht="24.75" customHeight="1">
      <c r="A31" s="456"/>
      <c r="B31" s="327" t="s">
        <v>4</v>
      </c>
      <c r="C31" s="312" t="s">
        <v>376</v>
      </c>
      <c r="D31" s="395" t="s">
        <v>2</v>
      </c>
      <c r="E31" s="395" t="s">
        <v>2</v>
      </c>
      <c r="F31" s="396" t="s">
        <v>377</v>
      </c>
      <c r="G31" s="295">
        <f>SUM(G32:G32)</f>
        <v>0</v>
      </c>
      <c r="H31" s="295">
        <f>SUM(H32:H32)</f>
        <v>0</v>
      </c>
      <c r="I31" s="296">
        <f>SUM(I32:I32)</f>
        <v>0</v>
      </c>
      <c r="J31" s="295">
        <f>J32</f>
        <v>0</v>
      </c>
    </row>
    <row r="32" spans="1:10" ht="12" customHeight="1" thickBot="1">
      <c r="A32" s="456"/>
      <c r="B32" s="328"/>
      <c r="C32" s="325"/>
      <c r="D32" s="308">
        <v>2212</v>
      </c>
      <c r="E32" s="299">
        <v>6351</v>
      </c>
      <c r="F32" s="329" t="s">
        <v>140</v>
      </c>
      <c r="G32" s="4">
        <v>0</v>
      </c>
      <c r="H32" s="4">
        <v>0</v>
      </c>
      <c r="I32" s="301"/>
      <c r="J32" s="4">
        <f>H32+I32</f>
        <v>0</v>
      </c>
    </row>
    <row r="33" spans="1:10" ht="12" customHeight="1">
      <c r="A33" s="456"/>
      <c r="B33" s="327" t="s">
        <v>4</v>
      </c>
      <c r="C33" s="312" t="s">
        <v>182</v>
      </c>
      <c r="D33" s="304" t="s">
        <v>2</v>
      </c>
      <c r="E33" s="304" t="s">
        <v>2</v>
      </c>
      <c r="F33" s="313" t="s">
        <v>183</v>
      </c>
      <c r="G33" s="295">
        <f>SUM(G34:G34)</f>
        <v>22000</v>
      </c>
      <c r="H33" s="295">
        <f>SUM(H34:H34)</f>
        <v>18859.2604</v>
      </c>
      <c r="I33" s="296">
        <f>SUM(I34:I34)</f>
        <v>0</v>
      </c>
      <c r="J33" s="295">
        <f>J34</f>
        <v>18859.2604</v>
      </c>
    </row>
    <row r="34" spans="1:10" ht="12" customHeight="1" thickBot="1">
      <c r="A34" s="456"/>
      <c r="B34" s="328"/>
      <c r="C34" s="325" t="s">
        <v>184</v>
      </c>
      <c r="D34" s="308">
        <v>2212</v>
      </c>
      <c r="E34" s="299">
        <v>6342</v>
      </c>
      <c r="F34" s="329" t="s">
        <v>185</v>
      </c>
      <c r="G34" s="4">
        <v>22000</v>
      </c>
      <c r="H34" s="4">
        <f>22000+3859.2604-7000</f>
        <v>18859.2604</v>
      </c>
      <c r="I34" s="301"/>
      <c r="J34" s="4">
        <f>H34+I34</f>
        <v>18859.2604</v>
      </c>
    </row>
    <row r="35" spans="1:10" ht="24.75" customHeight="1">
      <c r="A35" s="456"/>
      <c r="B35" s="317" t="s">
        <v>4</v>
      </c>
      <c r="C35" s="312" t="s">
        <v>186</v>
      </c>
      <c r="D35" s="318" t="s">
        <v>2</v>
      </c>
      <c r="E35" s="318" t="s">
        <v>2</v>
      </c>
      <c r="F35" s="313" t="s">
        <v>187</v>
      </c>
      <c r="G35" s="296">
        <f>SUM(G36:G36)</f>
        <v>4500</v>
      </c>
      <c r="H35" s="296">
        <f>SUM(H36:H36)</f>
        <v>4156.19</v>
      </c>
      <c r="I35" s="296">
        <f>SUM(I36:I36)</f>
        <v>0</v>
      </c>
      <c r="J35" s="295">
        <f>J36</f>
        <v>4156.19</v>
      </c>
    </row>
    <row r="36" spans="1:10" ht="12" customHeight="1" thickBot="1">
      <c r="A36" s="456"/>
      <c r="B36" s="330"/>
      <c r="C36" s="325"/>
      <c r="D36" s="308">
        <v>2212</v>
      </c>
      <c r="E36" s="299">
        <v>6121</v>
      </c>
      <c r="F36" s="269" t="s">
        <v>138</v>
      </c>
      <c r="G36" s="4">
        <v>4500</v>
      </c>
      <c r="H36" s="4">
        <f>4500-283.81-60</f>
        <v>4156.19</v>
      </c>
      <c r="I36" s="4"/>
      <c r="J36" s="4">
        <f>H36+I36</f>
        <v>4156.19</v>
      </c>
    </row>
    <row r="37" spans="1:10" ht="12" customHeight="1">
      <c r="A37" s="456"/>
      <c r="B37" s="317" t="s">
        <v>4</v>
      </c>
      <c r="C37" s="312" t="s">
        <v>188</v>
      </c>
      <c r="D37" s="318" t="s">
        <v>2</v>
      </c>
      <c r="E37" s="318" t="s">
        <v>2</v>
      </c>
      <c r="F37" s="319" t="s">
        <v>189</v>
      </c>
      <c r="G37" s="296">
        <f>SUM(G38:G38)</f>
        <v>9150</v>
      </c>
      <c r="H37" s="296">
        <f>SUM(H38:H38)</f>
        <v>60249.337</v>
      </c>
      <c r="I37" s="296">
        <f>SUM(I38:I38)</f>
        <v>0</v>
      </c>
      <c r="J37" s="295">
        <f>J38</f>
        <v>60249.337</v>
      </c>
    </row>
    <row r="38" spans="1:10" ht="12" customHeight="1" thickBot="1">
      <c r="A38" s="456"/>
      <c r="B38" s="330"/>
      <c r="C38" s="325"/>
      <c r="D38" s="308">
        <v>2212</v>
      </c>
      <c r="E38" s="299">
        <v>6121</v>
      </c>
      <c r="F38" s="269" t="s">
        <v>138</v>
      </c>
      <c r="G38" s="4">
        <v>9150</v>
      </c>
      <c r="H38" s="4">
        <f>9150+599.337+7000+43500</f>
        <v>60249.337</v>
      </c>
      <c r="I38" s="4"/>
      <c r="J38" s="4">
        <f>H38+I38</f>
        <v>60249.337</v>
      </c>
    </row>
    <row r="39" spans="1:10" ht="12" customHeight="1">
      <c r="A39" s="456"/>
      <c r="B39" s="317" t="s">
        <v>4</v>
      </c>
      <c r="C39" s="312" t="s">
        <v>190</v>
      </c>
      <c r="D39" s="318" t="s">
        <v>2</v>
      </c>
      <c r="E39" s="318" t="s">
        <v>2</v>
      </c>
      <c r="F39" s="319" t="s">
        <v>191</v>
      </c>
      <c r="G39" s="296">
        <f>SUM(G40:G40)</f>
        <v>6400</v>
      </c>
      <c r="H39" s="296">
        <f>SUM(H40:H40)</f>
        <v>15150.55</v>
      </c>
      <c r="I39" s="296">
        <f>SUM(I40:I40)</f>
        <v>0</v>
      </c>
      <c r="J39" s="295">
        <f>J40</f>
        <v>15150.55</v>
      </c>
    </row>
    <row r="40" spans="1:10" ht="12" customHeight="1" thickBot="1">
      <c r="A40" s="456"/>
      <c r="B40" s="330"/>
      <c r="C40" s="325"/>
      <c r="D40" s="308">
        <v>2212</v>
      </c>
      <c r="E40" s="299">
        <v>6121</v>
      </c>
      <c r="F40" s="269" t="s">
        <v>138</v>
      </c>
      <c r="G40" s="4">
        <v>6400</v>
      </c>
      <c r="H40" s="4">
        <f>6400+550.55+8200</f>
        <v>15150.55</v>
      </c>
      <c r="I40" s="4"/>
      <c r="J40" s="4">
        <f>H40+I40</f>
        <v>15150.55</v>
      </c>
    </row>
    <row r="41" spans="1:10" ht="12" customHeight="1">
      <c r="A41" s="456"/>
      <c r="B41" s="317" t="s">
        <v>4</v>
      </c>
      <c r="C41" s="312" t="s">
        <v>192</v>
      </c>
      <c r="D41" s="318" t="s">
        <v>2</v>
      </c>
      <c r="E41" s="318" t="s">
        <v>2</v>
      </c>
      <c r="F41" s="319" t="s">
        <v>193</v>
      </c>
      <c r="G41" s="296">
        <f>SUM(G42:G42)</f>
        <v>15450</v>
      </c>
      <c r="H41" s="296">
        <f>SUM(H42:H42)</f>
        <v>25793.881999999998</v>
      </c>
      <c r="I41" s="296">
        <f>SUM(I42:I42)</f>
        <v>0</v>
      </c>
      <c r="J41" s="295">
        <f>J42</f>
        <v>25793.881999999998</v>
      </c>
    </row>
    <row r="42" spans="1:10" ht="12" customHeight="1" thickBot="1">
      <c r="A42" s="456"/>
      <c r="B42" s="330"/>
      <c r="C42" s="325"/>
      <c r="D42" s="308">
        <v>2212</v>
      </c>
      <c r="E42" s="299">
        <v>6121</v>
      </c>
      <c r="F42" s="269" t="s">
        <v>138</v>
      </c>
      <c r="G42" s="4">
        <v>15450</v>
      </c>
      <c r="H42" s="4">
        <f>15450+343.882+10000</f>
        <v>25793.881999999998</v>
      </c>
      <c r="I42" s="4"/>
      <c r="J42" s="4">
        <f>H42+I42</f>
        <v>25793.881999999998</v>
      </c>
    </row>
    <row r="43" spans="1:10" ht="24.75" customHeight="1">
      <c r="A43" s="456"/>
      <c r="B43" s="317" t="s">
        <v>4</v>
      </c>
      <c r="C43" s="312" t="s">
        <v>194</v>
      </c>
      <c r="D43" s="318" t="s">
        <v>2</v>
      </c>
      <c r="E43" s="318" t="s">
        <v>2</v>
      </c>
      <c r="F43" s="331" t="s">
        <v>195</v>
      </c>
      <c r="G43" s="296">
        <f>SUM(G44:G44)</f>
        <v>0</v>
      </c>
      <c r="H43" s="296">
        <f>SUM(H44:H44)</f>
        <v>1607.1</v>
      </c>
      <c r="I43" s="422">
        <f>SUM(I44:I44)</f>
        <v>-336.859</v>
      </c>
      <c r="J43" s="295">
        <f>J44</f>
        <v>1270.241</v>
      </c>
    </row>
    <row r="44" spans="1:10" ht="12" customHeight="1" thickBot="1">
      <c r="A44" s="456"/>
      <c r="B44" s="330"/>
      <c r="C44" s="325"/>
      <c r="D44" s="308">
        <v>2212</v>
      </c>
      <c r="E44" s="332">
        <v>5331</v>
      </c>
      <c r="F44" s="333" t="s">
        <v>196</v>
      </c>
      <c r="G44" s="4">
        <v>0</v>
      </c>
      <c r="H44" s="4">
        <f>3000-592.9-800</f>
        <v>1607.1</v>
      </c>
      <c r="I44" s="423">
        <v>-336.859</v>
      </c>
      <c r="J44" s="4">
        <f>H44+I44</f>
        <v>1270.241</v>
      </c>
    </row>
    <row r="45" spans="1:10" ht="24.75" customHeight="1">
      <c r="A45" s="456"/>
      <c r="B45" s="317" t="s">
        <v>4</v>
      </c>
      <c r="C45" s="312" t="s">
        <v>374</v>
      </c>
      <c r="D45" s="318" t="s">
        <v>2</v>
      </c>
      <c r="E45" s="318" t="s">
        <v>2</v>
      </c>
      <c r="F45" s="331" t="s">
        <v>375</v>
      </c>
      <c r="G45" s="296">
        <f>SUM(G46:G46)</f>
        <v>0</v>
      </c>
      <c r="H45" s="296">
        <f>SUM(H46:H46)</f>
        <v>800</v>
      </c>
      <c r="I45" s="296">
        <f>SUM(I46:I46)</f>
        <v>0</v>
      </c>
      <c r="J45" s="295">
        <f>J46</f>
        <v>800</v>
      </c>
    </row>
    <row r="46" spans="1:10" ht="12" customHeight="1" thickBot="1">
      <c r="A46" s="456"/>
      <c r="B46" s="330"/>
      <c r="C46" s="325"/>
      <c r="D46" s="308">
        <v>2212</v>
      </c>
      <c r="E46" s="332">
        <v>6351</v>
      </c>
      <c r="F46" s="333" t="s">
        <v>140</v>
      </c>
      <c r="G46" s="4">
        <v>0</v>
      </c>
      <c r="H46" s="4">
        <v>800</v>
      </c>
      <c r="I46" s="4"/>
      <c r="J46" s="4">
        <f>H46+I46</f>
        <v>800</v>
      </c>
    </row>
    <row r="47" spans="1:10" ht="24.75" customHeight="1">
      <c r="A47" s="456"/>
      <c r="B47" s="327" t="s">
        <v>4</v>
      </c>
      <c r="C47" s="312" t="s">
        <v>380</v>
      </c>
      <c r="D47" s="395" t="s">
        <v>2</v>
      </c>
      <c r="E47" s="395" t="s">
        <v>2</v>
      </c>
      <c r="F47" s="396" t="s">
        <v>384</v>
      </c>
      <c r="G47" s="295">
        <f>SUM(G48:G48)</f>
        <v>0</v>
      </c>
      <c r="H47" s="295">
        <f>SUM(H48:H48)</f>
        <v>0</v>
      </c>
      <c r="I47" s="422">
        <f>SUM(I48:I48)</f>
        <v>8500</v>
      </c>
      <c r="J47" s="295">
        <f>J48</f>
        <v>8500</v>
      </c>
    </row>
    <row r="48" spans="1:10" ht="12" customHeight="1" thickBot="1">
      <c r="A48" s="456"/>
      <c r="B48" s="328"/>
      <c r="C48" s="325"/>
      <c r="D48" s="308">
        <v>2212</v>
      </c>
      <c r="E48" s="299">
        <v>6351</v>
      </c>
      <c r="F48" s="329" t="s">
        <v>140</v>
      </c>
      <c r="G48" s="4">
        <v>0</v>
      </c>
      <c r="H48" s="4">
        <v>0</v>
      </c>
      <c r="I48" s="424">
        <v>8500</v>
      </c>
      <c r="J48" s="4">
        <f>H48+I48</f>
        <v>8500</v>
      </c>
    </row>
    <row r="49" spans="1:10" s="339" customFormat="1" ht="12" customHeight="1" thickBot="1">
      <c r="A49" s="456"/>
      <c r="B49" s="334" t="s">
        <v>4</v>
      </c>
      <c r="C49" s="335" t="s">
        <v>2</v>
      </c>
      <c r="D49" s="336" t="s">
        <v>2</v>
      </c>
      <c r="E49" s="336" t="s">
        <v>2</v>
      </c>
      <c r="F49" s="337" t="s">
        <v>197</v>
      </c>
      <c r="G49" s="338">
        <f>G50+G53+G56+G59+G63+G67+G71+G75+G79+G83+G87+G91+G95+G99+G103+G107+G111+G115+G118+G121+G124+G128+G132+G136+G139+G143+G146+G150+G154+G158+G162+G166+G169+G173+G177+G181+G185+G189+G193+G197+G201+G205+G209+G213+G217+G221+G224+G228+G232+G236+G240+G244+G248+G252+G256+G259+G263+G267+G271+G275+G278+G282+G286+G290+G294+G298+G302+G305+G309+G312+G316+G320+G324+G328+G332+G336+G340+G344+G348+G352+G355+G359+G363+G367+G370</f>
        <v>0</v>
      </c>
      <c r="H49" s="338">
        <f>H50+H53+H56+H59+H63+H67+H71+H75+H79+H83+H87+H91+H95+H99+H103+H107+H111+H115+H118+H121+H124+H128+H132+H136+H139+H143+H146+H150+H154+H158+H162+H166+H169+H173+H177+H181+H185+H189+H193+H197+H201+H205+H209+H213+H217+H221+H224+H228+H232+H236+H240+H244+H248+H252+H256+H259+H263+H267+H271+H275+H278+H282+H286+H290+H294+H298+H302+H305+H309+H312+H316+H320+H324+H328+H332+H336+H340+H344+H348+H352+H355+H359+H363+H367+H370</f>
        <v>172775.18750000006</v>
      </c>
      <c r="I49" s="338">
        <f>I50+I53+I56+I59+I63+I67+I71+I75+I79+I83+I87+I91+I95+I99+I103+I107+I111+I115+I118+I121+I124+I128+I132+I136+I139+I143+I146+I150+I154+I158+I162+I166+I169+I173+I177+I181+I185+I189+I193+I197+I201+I205+I209+I213+I217+I221+I224+I228+I232+I236+I240+I244+I248+I252+I256+I259+I263+I267+I271+I275+I278+I282+I286+I290+I294+I298+I302+I305+I309+I312+I316+I320+I324+I328+I332+I336+I340+I344+I348+I352+I355+I359+I363+I367+I370</f>
        <v>0</v>
      </c>
      <c r="J49" s="338">
        <f>J50+J53+J56+J59+J63+J67+J71+J75+J79+J83+J87+J91+J95+J99+J103+J107+J111+J115+J118+J121+J124+J128+J132+J136+J139+J143+J146+J150+J154+J158+J162+J166+J169+J173+J177+J181+J185+J189+J193+J197+J201+J205+J209+J213+J217+J221+J224+J228+J232+J236+J240+J244+J248+J252+J256+J259+J263+J267+J271+J275+J278+J282+J286+J290+J294+J298+J302+J305+J309+J312+J316+J320+J324+J328+J332+J336+J340+J344+J348+J352+J355+J359+J363+J367+J370</f>
        <v>172775.18750000006</v>
      </c>
    </row>
    <row r="50" spans="1:10" s="339" customFormat="1" ht="12" customHeight="1" hidden="1">
      <c r="A50" s="456"/>
      <c r="B50" s="340" t="s">
        <v>4</v>
      </c>
      <c r="C50" s="341" t="s">
        <v>198</v>
      </c>
      <c r="D50" s="318" t="s">
        <v>2</v>
      </c>
      <c r="E50" s="318" t="s">
        <v>2</v>
      </c>
      <c r="F50" s="319" t="s">
        <v>199</v>
      </c>
      <c r="G50" s="295">
        <f>SUM(G51:G52)</f>
        <v>0</v>
      </c>
      <c r="H50" s="105">
        <f>SUM(H51:H52)</f>
        <v>466.0264999999961</v>
      </c>
      <c r="I50" s="295">
        <f>SUM(I51:I52)</f>
        <v>0</v>
      </c>
      <c r="J50" s="295">
        <f>SUM(J51:J52)</f>
        <v>466.0264999999961</v>
      </c>
    </row>
    <row r="51" spans="1:10" s="339" customFormat="1" ht="12" customHeight="1" hidden="1">
      <c r="A51" s="456"/>
      <c r="B51" s="342"/>
      <c r="C51" s="343"/>
      <c r="D51" s="309">
        <v>2212</v>
      </c>
      <c r="E51" s="344">
        <v>5901</v>
      </c>
      <c r="F51" s="345" t="s">
        <v>139</v>
      </c>
      <c r="G51" s="346">
        <v>0</v>
      </c>
      <c r="H51" s="7">
        <f>4100-338.8+21824.1875-1267.3645-2642.436-6805.079-11724.454-1939.556-1206.498+804.786-454.004+3.63+81.666+29.948</f>
        <v>466.0259999999999</v>
      </c>
      <c r="I51" s="7"/>
      <c r="J51" s="275">
        <f>H51+I51</f>
        <v>466.0259999999999</v>
      </c>
    </row>
    <row r="52" spans="1:10" s="339" customFormat="1" ht="12" customHeight="1" hidden="1" thickBot="1">
      <c r="A52" s="456"/>
      <c r="B52" s="347"/>
      <c r="C52" s="348" t="s">
        <v>200</v>
      </c>
      <c r="D52" s="308">
        <v>2212</v>
      </c>
      <c r="E52" s="349">
        <v>5901</v>
      </c>
      <c r="F52" s="350" t="s">
        <v>139</v>
      </c>
      <c r="G52" s="5">
        <v>0</v>
      </c>
      <c r="H52" s="4">
        <f>146851-9101.5345-60600.018-85064.545+11724.454-3371.489-437.867</f>
        <v>0.0004999999961796675</v>
      </c>
      <c r="I52" s="5"/>
      <c r="J52" s="5">
        <f>H52+I52</f>
        <v>0.0004999999961796675</v>
      </c>
    </row>
    <row r="53" spans="1:10" ht="12" customHeight="1" hidden="1">
      <c r="A53" s="456"/>
      <c r="B53" s="351" t="s">
        <v>4</v>
      </c>
      <c r="C53" s="312" t="s">
        <v>201</v>
      </c>
      <c r="D53" s="318" t="s">
        <v>2</v>
      </c>
      <c r="E53" s="318" t="s">
        <v>2</v>
      </c>
      <c r="F53" s="319" t="s">
        <v>202</v>
      </c>
      <c r="G53" s="295">
        <f>SUM(G54:G55)</f>
        <v>0</v>
      </c>
      <c r="H53" s="105">
        <f>SUM(H54:H55)</f>
        <v>1721.264</v>
      </c>
      <c r="I53" s="295">
        <f>SUM(I54:I55)</f>
        <v>0</v>
      </c>
      <c r="J53" s="295">
        <f>SUM(J54:J55)</f>
        <v>1721.264</v>
      </c>
    </row>
    <row r="54" spans="1:10" ht="12" customHeight="1" hidden="1">
      <c r="A54" s="456"/>
      <c r="B54" s="320"/>
      <c r="C54" s="352" t="s">
        <v>200</v>
      </c>
      <c r="D54" s="309">
        <v>2212</v>
      </c>
      <c r="E54" s="344">
        <v>5169</v>
      </c>
      <c r="F54" s="272" t="s">
        <v>60</v>
      </c>
      <c r="G54" s="7">
        <v>0</v>
      </c>
      <c r="H54" s="106">
        <f>35.09+22.99</f>
        <v>58.08</v>
      </c>
      <c r="I54" s="7"/>
      <c r="J54" s="7">
        <f>H54+I54</f>
        <v>58.08</v>
      </c>
    </row>
    <row r="55" spans="1:10" ht="12" customHeight="1" hidden="1" thickBot="1">
      <c r="A55" s="456"/>
      <c r="B55" s="320"/>
      <c r="C55" s="321"/>
      <c r="D55" s="309">
        <v>2212</v>
      </c>
      <c r="E55" s="344">
        <v>5171</v>
      </c>
      <c r="F55" s="345" t="s">
        <v>203</v>
      </c>
      <c r="G55" s="7">
        <v>0</v>
      </c>
      <c r="H55" s="7">
        <f>2004.567*0.15+0.00045+(2004.567*0.85-0.00045)-341.383</f>
        <v>1663.184</v>
      </c>
      <c r="I55" s="7"/>
      <c r="J55" s="7">
        <f>H55+I55</f>
        <v>1663.184</v>
      </c>
    </row>
    <row r="56" spans="1:10" ht="12" customHeight="1" hidden="1">
      <c r="A56" s="456"/>
      <c r="B56" s="351" t="s">
        <v>4</v>
      </c>
      <c r="C56" s="312" t="s">
        <v>204</v>
      </c>
      <c r="D56" s="318" t="s">
        <v>2</v>
      </c>
      <c r="E56" s="318" t="s">
        <v>2</v>
      </c>
      <c r="F56" s="319" t="s">
        <v>205</v>
      </c>
      <c r="G56" s="295">
        <f>SUM(G57:G58)</f>
        <v>0</v>
      </c>
      <c r="H56" s="105">
        <f>SUM(H57:H58)</f>
        <v>1243.877</v>
      </c>
      <c r="I56" s="295">
        <f>SUM(I57:I58)</f>
        <v>0</v>
      </c>
      <c r="J56" s="295">
        <f>SUM(J57:J58)</f>
        <v>1243.877</v>
      </c>
    </row>
    <row r="57" spans="1:10" ht="12" customHeight="1" hidden="1">
      <c r="A57" s="456"/>
      <c r="B57" s="320"/>
      <c r="C57" s="352" t="s">
        <v>200</v>
      </c>
      <c r="D57" s="309">
        <v>2212</v>
      </c>
      <c r="E57" s="344">
        <v>5169</v>
      </c>
      <c r="F57" s="272" t="s">
        <v>60</v>
      </c>
      <c r="G57" s="7">
        <v>0</v>
      </c>
      <c r="H57" s="106">
        <f>21.538+37.752</f>
        <v>59.290000000000006</v>
      </c>
      <c r="I57" s="16"/>
      <c r="J57" s="7">
        <f>H57+I57</f>
        <v>59.290000000000006</v>
      </c>
    </row>
    <row r="58" spans="1:10" ht="12" customHeight="1" hidden="1" thickBot="1">
      <c r="A58" s="456"/>
      <c r="B58" s="347"/>
      <c r="C58" s="325"/>
      <c r="D58" s="308">
        <v>2212</v>
      </c>
      <c r="E58" s="349">
        <v>5171</v>
      </c>
      <c r="F58" s="350" t="s">
        <v>203</v>
      </c>
      <c r="G58" s="5">
        <v>0</v>
      </c>
      <c r="H58" s="5">
        <f>1185.796*0.15+0.0001+(1185.796*0.85-0.0001)-1.209</f>
        <v>1184.587</v>
      </c>
      <c r="I58" s="5"/>
      <c r="J58" s="5">
        <f>H58+I58</f>
        <v>1184.587</v>
      </c>
    </row>
    <row r="59" spans="1:10" s="339" customFormat="1" ht="12" customHeight="1" hidden="1">
      <c r="A59" s="456"/>
      <c r="B59" s="351" t="s">
        <v>4</v>
      </c>
      <c r="C59" s="353" t="s">
        <v>206</v>
      </c>
      <c r="D59" s="354" t="s">
        <v>2</v>
      </c>
      <c r="E59" s="354" t="s">
        <v>2</v>
      </c>
      <c r="F59" s="355" t="s">
        <v>207</v>
      </c>
      <c r="G59" s="356">
        <f>SUM(G60:G62)</f>
        <v>0</v>
      </c>
      <c r="H59" s="357">
        <f>SUM(H60:H62)</f>
        <v>2223.101</v>
      </c>
      <c r="I59" s="356">
        <f>SUM(I60:I62)</f>
        <v>0</v>
      </c>
      <c r="J59" s="356">
        <f>SUM(J60:J62)</f>
        <v>2223.101</v>
      </c>
    </row>
    <row r="60" spans="1:10" s="339" customFormat="1" ht="12" customHeight="1" hidden="1">
      <c r="A60" s="456"/>
      <c r="B60" s="342"/>
      <c r="C60" s="358"/>
      <c r="D60" s="309">
        <v>2212</v>
      </c>
      <c r="E60" s="344">
        <v>5169</v>
      </c>
      <c r="F60" s="272" t="s">
        <v>60</v>
      </c>
      <c r="G60" s="346">
        <v>0</v>
      </c>
      <c r="H60" s="7">
        <f>20*1.21+2.5*1.21</f>
        <v>27.224999999999998</v>
      </c>
      <c r="I60" s="16"/>
      <c r="J60" s="275">
        <f>H60+I60</f>
        <v>27.224999999999998</v>
      </c>
    </row>
    <row r="61" spans="1:10" s="339" customFormat="1" ht="12" customHeight="1" hidden="1">
      <c r="A61" s="456"/>
      <c r="B61" s="342"/>
      <c r="C61" s="352" t="s">
        <v>200</v>
      </c>
      <c r="D61" s="309">
        <v>2212</v>
      </c>
      <c r="E61" s="344">
        <v>5169</v>
      </c>
      <c r="F61" s="272" t="s">
        <v>60</v>
      </c>
      <c r="G61" s="346">
        <v>0</v>
      </c>
      <c r="H61" s="7">
        <f>32.148+12.705</f>
        <v>44.853</v>
      </c>
      <c r="I61" s="16"/>
      <c r="J61" s="275">
        <f>H61+I61</f>
        <v>44.853</v>
      </c>
    </row>
    <row r="62" spans="1:10" ht="12" customHeight="1" hidden="1" thickBot="1">
      <c r="A62" s="456"/>
      <c r="B62" s="347"/>
      <c r="C62" s="348" t="s">
        <v>200</v>
      </c>
      <c r="D62" s="308">
        <v>2212</v>
      </c>
      <c r="E62" s="349">
        <v>5171</v>
      </c>
      <c r="F62" s="350" t="s">
        <v>203</v>
      </c>
      <c r="G62" s="5">
        <v>0</v>
      </c>
      <c r="H62" s="4">
        <v>2151.023</v>
      </c>
      <c r="I62" s="4"/>
      <c r="J62" s="5">
        <f>H62+I62</f>
        <v>2151.023</v>
      </c>
    </row>
    <row r="63" spans="1:10" s="339" customFormat="1" ht="12" customHeight="1" hidden="1">
      <c r="A63" s="456"/>
      <c r="B63" s="340" t="s">
        <v>4</v>
      </c>
      <c r="C63" s="341" t="s">
        <v>208</v>
      </c>
      <c r="D63" s="318" t="s">
        <v>2</v>
      </c>
      <c r="E63" s="318" t="s">
        <v>2</v>
      </c>
      <c r="F63" s="319" t="s">
        <v>209</v>
      </c>
      <c r="G63" s="295">
        <f>SUM(G64:G66)</f>
        <v>0</v>
      </c>
      <c r="H63" s="105">
        <f>SUM(H64:H66)</f>
        <v>1700.341</v>
      </c>
      <c r="I63" s="295">
        <f>SUM(I64:I66)</f>
        <v>0</v>
      </c>
      <c r="J63" s="295">
        <f>SUM(J64:J66)</f>
        <v>1700.341</v>
      </c>
    </row>
    <row r="64" spans="1:10" s="339" customFormat="1" ht="12" customHeight="1" hidden="1">
      <c r="A64" s="456"/>
      <c r="B64" s="342"/>
      <c r="C64" s="358"/>
      <c r="D64" s="309">
        <v>2212</v>
      </c>
      <c r="E64" s="344">
        <v>5169</v>
      </c>
      <c r="F64" s="272" t="s">
        <v>60</v>
      </c>
      <c r="G64" s="346">
        <v>0</v>
      </c>
      <c r="H64" s="7">
        <f>20*1.21+2.5*1.21</f>
        <v>27.224999999999998</v>
      </c>
      <c r="I64" s="16"/>
      <c r="J64" s="275">
        <f>H64+I64</f>
        <v>27.224999999999998</v>
      </c>
    </row>
    <row r="65" spans="1:10" s="339" customFormat="1" ht="12" customHeight="1" hidden="1">
      <c r="A65" s="456"/>
      <c r="B65" s="342"/>
      <c r="C65" s="352" t="s">
        <v>200</v>
      </c>
      <c r="D65" s="309">
        <v>2212</v>
      </c>
      <c r="E65" s="344">
        <v>5169</v>
      </c>
      <c r="F65" s="272" t="s">
        <v>60</v>
      </c>
      <c r="G65" s="346">
        <v>0</v>
      </c>
      <c r="H65" s="7">
        <f>32.148+12.705</f>
        <v>44.853</v>
      </c>
      <c r="I65" s="16"/>
      <c r="J65" s="275">
        <f>H65+I65</f>
        <v>44.853</v>
      </c>
    </row>
    <row r="66" spans="1:10" ht="12" customHeight="1" hidden="1" thickBot="1">
      <c r="A66" s="456"/>
      <c r="B66" s="347"/>
      <c r="C66" s="348" t="s">
        <v>200</v>
      </c>
      <c r="D66" s="308">
        <v>2212</v>
      </c>
      <c r="E66" s="349">
        <v>5171</v>
      </c>
      <c r="F66" s="350" t="s">
        <v>203</v>
      </c>
      <c r="G66" s="5">
        <v>0</v>
      </c>
      <c r="H66" s="4">
        <v>1628.263</v>
      </c>
      <c r="I66" s="4"/>
      <c r="J66" s="5">
        <f>H66+I66</f>
        <v>1628.263</v>
      </c>
    </row>
    <row r="67" spans="1:10" s="339" customFormat="1" ht="12" customHeight="1" hidden="1">
      <c r="A67" s="456"/>
      <c r="B67" s="351" t="s">
        <v>4</v>
      </c>
      <c r="C67" s="353" t="s">
        <v>210</v>
      </c>
      <c r="D67" s="354" t="s">
        <v>2</v>
      </c>
      <c r="E67" s="354" t="s">
        <v>2</v>
      </c>
      <c r="F67" s="355" t="s">
        <v>211</v>
      </c>
      <c r="G67" s="295">
        <f>SUM(G68:G70)</f>
        <v>0</v>
      </c>
      <c r="H67" s="105">
        <f>SUM(H68:H70)</f>
        <v>4148.308</v>
      </c>
      <c r="I67" s="295">
        <f>SUM(I68:I70)</f>
        <v>0</v>
      </c>
      <c r="J67" s="295">
        <f>SUM(J68:J70)</f>
        <v>4148.308</v>
      </c>
    </row>
    <row r="68" spans="1:10" s="339" customFormat="1" ht="12" customHeight="1" hidden="1">
      <c r="A68" s="456"/>
      <c r="B68" s="342"/>
      <c r="C68" s="358"/>
      <c r="D68" s="309">
        <v>2212</v>
      </c>
      <c r="E68" s="344">
        <v>5169</v>
      </c>
      <c r="F68" s="272" t="s">
        <v>60</v>
      </c>
      <c r="G68" s="346">
        <v>0</v>
      </c>
      <c r="H68" s="7">
        <f>20*1.21+2.5*1.21</f>
        <v>27.224999999999998</v>
      </c>
      <c r="I68" s="16"/>
      <c r="J68" s="275">
        <f>H68+I68</f>
        <v>27.224999999999998</v>
      </c>
    </row>
    <row r="69" spans="1:10" s="339" customFormat="1" ht="12" customHeight="1" hidden="1">
      <c r="A69" s="456"/>
      <c r="B69" s="342"/>
      <c r="C69" s="352" t="s">
        <v>200</v>
      </c>
      <c r="D69" s="309">
        <v>2212</v>
      </c>
      <c r="E69" s="344">
        <v>5169</v>
      </c>
      <c r="F69" s="272" t="s">
        <v>60</v>
      </c>
      <c r="G69" s="346">
        <v>0</v>
      </c>
      <c r="H69" s="7">
        <f>32.147+12.705</f>
        <v>44.852</v>
      </c>
      <c r="I69" s="16"/>
      <c r="J69" s="275">
        <f>H69+I69</f>
        <v>44.852</v>
      </c>
    </row>
    <row r="70" spans="1:10" ht="12" customHeight="1" hidden="1" thickBot="1">
      <c r="A70" s="456"/>
      <c r="B70" s="359"/>
      <c r="C70" s="360" t="s">
        <v>200</v>
      </c>
      <c r="D70" s="299">
        <v>2212</v>
      </c>
      <c r="E70" s="361">
        <v>5171</v>
      </c>
      <c r="F70" s="314" t="s">
        <v>203</v>
      </c>
      <c r="G70" s="4">
        <v>0</v>
      </c>
      <c r="H70" s="4">
        <v>4076.231</v>
      </c>
      <c r="I70" s="4"/>
      <c r="J70" s="4">
        <f>H70+I70</f>
        <v>4076.231</v>
      </c>
    </row>
    <row r="71" spans="1:10" s="339" customFormat="1" ht="12" customHeight="1" hidden="1">
      <c r="A71" s="456"/>
      <c r="B71" s="340" t="s">
        <v>4</v>
      </c>
      <c r="C71" s="341" t="s">
        <v>212</v>
      </c>
      <c r="D71" s="318" t="s">
        <v>2</v>
      </c>
      <c r="E71" s="318" t="s">
        <v>2</v>
      </c>
      <c r="F71" s="319" t="s">
        <v>213</v>
      </c>
      <c r="G71" s="295">
        <f>SUM(G72:G74)</f>
        <v>0</v>
      </c>
      <c r="H71" s="105">
        <f>SUM(H72:H74)</f>
        <v>1445.493</v>
      </c>
      <c r="I71" s="295">
        <f>SUM(I72:I74)</f>
        <v>0</v>
      </c>
      <c r="J71" s="295">
        <f>SUM(J72:J74)</f>
        <v>1445.493</v>
      </c>
    </row>
    <row r="72" spans="1:10" s="339" customFormat="1" ht="12" customHeight="1" hidden="1">
      <c r="A72" s="456"/>
      <c r="B72" s="342"/>
      <c r="C72" s="358"/>
      <c r="D72" s="309">
        <v>2212</v>
      </c>
      <c r="E72" s="344">
        <v>5169</v>
      </c>
      <c r="F72" s="272" t="s">
        <v>60</v>
      </c>
      <c r="G72" s="346">
        <v>0</v>
      </c>
      <c r="H72" s="7">
        <f>20*1.21+2.5*1.21</f>
        <v>27.224999999999998</v>
      </c>
      <c r="I72" s="16"/>
      <c r="J72" s="275">
        <f>H72+I72</f>
        <v>27.224999999999998</v>
      </c>
    </row>
    <row r="73" spans="1:10" s="339" customFormat="1" ht="12" customHeight="1" hidden="1">
      <c r="A73" s="456"/>
      <c r="B73" s="342"/>
      <c r="C73" s="352" t="s">
        <v>200</v>
      </c>
      <c r="D73" s="309">
        <v>2212</v>
      </c>
      <c r="E73" s="344">
        <v>5169</v>
      </c>
      <c r="F73" s="272" t="s">
        <v>60</v>
      </c>
      <c r="G73" s="346">
        <v>0</v>
      </c>
      <c r="H73" s="107">
        <f>31.46+16.94</f>
        <v>48.400000000000006</v>
      </c>
      <c r="I73" s="16"/>
      <c r="J73" s="275">
        <f>H73+I73</f>
        <v>48.400000000000006</v>
      </c>
    </row>
    <row r="74" spans="1:10" ht="12" customHeight="1" hidden="1" thickBot="1">
      <c r="A74" s="456"/>
      <c r="B74" s="347"/>
      <c r="C74" s="348" t="s">
        <v>200</v>
      </c>
      <c r="D74" s="299">
        <v>2212</v>
      </c>
      <c r="E74" s="361">
        <v>5171</v>
      </c>
      <c r="F74" s="314" t="s">
        <v>203</v>
      </c>
      <c r="G74" s="5">
        <v>0</v>
      </c>
      <c r="H74" s="4">
        <v>1369.868</v>
      </c>
      <c r="I74" s="4"/>
      <c r="J74" s="4">
        <f>H74+I74</f>
        <v>1369.868</v>
      </c>
    </row>
    <row r="75" spans="1:10" s="339" customFormat="1" ht="12" customHeight="1" hidden="1">
      <c r="A75" s="456"/>
      <c r="B75" s="340" t="s">
        <v>4</v>
      </c>
      <c r="C75" s="341" t="s">
        <v>214</v>
      </c>
      <c r="D75" s="318" t="s">
        <v>2</v>
      </c>
      <c r="E75" s="318" t="s">
        <v>2</v>
      </c>
      <c r="F75" s="319" t="s">
        <v>215</v>
      </c>
      <c r="G75" s="295">
        <f>SUM(G76:G78)</f>
        <v>0</v>
      </c>
      <c r="H75" s="105">
        <f>SUM(H76:H78)</f>
        <v>4690.74</v>
      </c>
      <c r="I75" s="295">
        <f>SUM(I76:I78)</f>
        <v>0</v>
      </c>
      <c r="J75" s="295">
        <f>SUM(J76:J78)</f>
        <v>4690.74</v>
      </c>
    </row>
    <row r="76" spans="1:10" s="339" customFormat="1" ht="12" customHeight="1" hidden="1">
      <c r="A76" s="456"/>
      <c r="B76" s="342"/>
      <c r="C76" s="358"/>
      <c r="D76" s="309">
        <v>2212</v>
      </c>
      <c r="E76" s="344">
        <v>5169</v>
      </c>
      <c r="F76" s="272" t="s">
        <v>60</v>
      </c>
      <c r="G76" s="346">
        <v>0</v>
      </c>
      <c r="H76" s="7">
        <f>20*1.21+2.5*1.21</f>
        <v>27.224999999999998</v>
      </c>
      <c r="I76" s="16"/>
      <c r="J76" s="275">
        <f>H76+I76</f>
        <v>27.224999999999998</v>
      </c>
    </row>
    <row r="77" spans="1:10" s="339" customFormat="1" ht="12" customHeight="1" hidden="1">
      <c r="A77" s="456"/>
      <c r="B77" s="342"/>
      <c r="C77" s="352" t="s">
        <v>200</v>
      </c>
      <c r="D77" s="309">
        <v>2212</v>
      </c>
      <c r="E77" s="344">
        <v>5169</v>
      </c>
      <c r="F77" s="272" t="s">
        <v>60</v>
      </c>
      <c r="G77" s="346">
        <v>0</v>
      </c>
      <c r="H77" s="7">
        <f>58.939+38.115</f>
        <v>97.054</v>
      </c>
      <c r="I77" s="16"/>
      <c r="J77" s="275">
        <f>H77+I77</f>
        <v>97.054</v>
      </c>
    </row>
    <row r="78" spans="1:10" ht="12" customHeight="1" hidden="1" thickBot="1">
      <c r="A78" s="456"/>
      <c r="B78" s="347"/>
      <c r="C78" s="348" t="s">
        <v>200</v>
      </c>
      <c r="D78" s="299">
        <v>2212</v>
      </c>
      <c r="E78" s="361">
        <v>5171</v>
      </c>
      <c r="F78" s="314" t="s">
        <v>203</v>
      </c>
      <c r="G78" s="5">
        <v>0</v>
      </c>
      <c r="H78" s="4">
        <f>4596.409-29.948</f>
        <v>4566.460999999999</v>
      </c>
      <c r="I78" s="4"/>
      <c r="J78" s="4">
        <f>H78+I78</f>
        <v>4566.460999999999</v>
      </c>
    </row>
    <row r="79" spans="1:10" s="339" customFormat="1" ht="12" customHeight="1" hidden="1">
      <c r="A79" s="456"/>
      <c r="B79" s="340" t="s">
        <v>4</v>
      </c>
      <c r="C79" s="341" t="s">
        <v>216</v>
      </c>
      <c r="D79" s="318" t="s">
        <v>2</v>
      </c>
      <c r="E79" s="318" t="s">
        <v>2</v>
      </c>
      <c r="F79" s="319" t="s">
        <v>217</v>
      </c>
      <c r="G79" s="295">
        <f>SUM(G80:G82)</f>
        <v>0</v>
      </c>
      <c r="H79" s="105">
        <f>SUM(H80:H82)</f>
        <v>2853.089</v>
      </c>
      <c r="I79" s="295">
        <f>SUM(I80:I82)</f>
        <v>0</v>
      </c>
      <c r="J79" s="295">
        <f>SUM(J80:J82)</f>
        <v>2853.089</v>
      </c>
    </row>
    <row r="80" spans="1:10" s="339" customFormat="1" ht="12" customHeight="1" hidden="1">
      <c r="A80" s="456"/>
      <c r="B80" s="342"/>
      <c r="C80" s="358"/>
      <c r="D80" s="309">
        <v>2212</v>
      </c>
      <c r="E80" s="344">
        <v>5169</v>
      </c>
      <c r="F80" s="272" t="s">
        <v>60</v>
      </c>
      <c r="G80" s="346">
        <v>0</v>
      </c>
      <c r="H80" s="7">
        <f>20*1.21+2.5*1.21</f>
        <v>27.224999999999998</v>
      </c>
      <c r="I80" s="16"/>
      <c r="J80" s="275">
        <f>H80+I80</f>
        <v>27.224999999999998</v>
      </c>
    </row>
    <row r="81" spans="1:10" s="339" customFormat="1" ht="12" customHeight="1" hidden="1">
      <c r="A81" s="456"/>
      <c r="B81" s="342"/>
      <c r="C81" s="352" t="s">
        <v>200</v>
      </c>
      <c r="D81" s="309">
        <v>2212</v>
      </c>
      <c r="E81" s="344">
        <v>5169</v>
      </c>
      <c r="F81" s="272" t="s">
        <v>60</v>
      </c>
      <c r="G81" s="346">
        <v>0</v>
      </c>
      <c r="H81" s="7">
        <f>18.453+15.73</f>
        <v>34.183</v>
      </c>
      <c r="I81" s="16"/>
      <c r="J81" s="275">
        <f>H81+I81</f>
        <v>34.183</v>
      </c>
    </row>
    <row r="82" spans="1:10" s="339" customFormat="1" ht="12" customHeight="1" hidden="1" thickBot="1">
      <c r="A82" s="456"/>
      <c r="B82" s="362"/>
      <c r="C82" s="358"/>
      <c r="D82" s="363">
        <v>2212</v>
      </c>
      <c r="E82" s="364">
        <v>5171</v>
      </c>
      <c r="F82" s="365" t="s">
        <v>203</v>
      </c>
      <c r="G82" s="107">
        <v>0</v>
      </c>
      <c r="H82" s="107">
        <f>2791.681</f>
        <v>2791.681</v>
      </c>
      <c r="I82" s="16"/>
      <c r="J82" s="275">
        <f>H82+I82</f>
        <v>2791.681</v>
      </c>
    </row>
    <row r="83" spans="1:10" s="339" customFormat="1" ht="12" customHeight="1" hidden="1">
      <c r="A83" s="456"/>
      <c r="B83" s="340" t="s">
        <v>4</v>
      </c>
      <c r="C83" s="341" t="s">
        <v>218</v>
      </c>
      <c r="D83" s="318" t="s">
        <v>2</v>
      </c>
      <c r="E83" s="318" t="s">
        <v>2</v>
      </c>
      <c r="F83" s="319" t="s">
        <v>219</v>
      </c>
      <c r="G83" s="295">
        <f>SUM(G84:G86)</f>
        <v>0</v>
      </c>
      <c r="H83" s="105">
        <f>SUM(H84:H86)</f>
        <v>1503.8419999999999</v>
      </c>
      <c r="I83" s="295">
        <f>SUM(I84:I86)</f>
        <v>0</v>
      </c>
      <c r="J83" s="295">
        <f>SUM(J84:J86)</f>
        <v>1503.8419999999999</v>
      </c>
    </row>
    <row r="84" spans="1:10" s="339" customFormat="1" ht="12" customHeight="1" hidden="1">
      <c r="A84" s="456"/>
      <c r="B84" s="342"/>
      <c r="C84" s="358"/>
      <c r="D84" s="309">
        <v>2212</v>
      </c>
      <c r="E84" s="344">
        <v>5169</v>
      </c>
      <c r="F84" s="272" t="s">
        <v>60</v>
      </c>
      <c r="G84" s="346">
        <v>0</v>
      </c>
      <c r="H84" s="7">
        <f>20*1.21+2.5*1.21</f>
        <v>27.224999999999998</v>
      </c>
      <c r="I84" s="16"/>
      <c r="J84" s="275">
        <f>H84+I84</f>
        <v>27.224999999999998</v>
      </c>
    </row>
    <row r="85" spans="1:10" s="339" customFormat="1" ht="12" customHeight="1" hidden="1">
      <c r="A85" s="456"/>
      <c r="B85" s="342"/>
      <c r="C85" s="352" t="s">
        <v>200</v>
      </c>
      <c r="D85" s="309">
        <v>2212</v>
      </c>
      <c r="E85" s="344">
        <v>5169</v>
      </c>
      <c r="F85" s="272" t="s">
        <v>60</v>
      </c>
      <c r="G85" s="346">
        <v>0</v>
      </c>
      <c r="H85" s="7">
        <f>18.452+15.73</f>
        <v>34.182</v>
      </c>
      <c r="I85" s="16"/>
      <c r="J85" s="275">
        <f>H85+I85</f>
        <v>34.182</v>
      </c>
    </row>
    <row r="86" spans="1:10" ht="12" customHeight="1" hidden="1" thickBot="1">
      <c r="A86" s="456"/>
      <c r="B86" s="347"/>
      <c r="C86" s="348" t="s">
        <v>200</v>
      </c>
      <c r="D86" s="299">
        <v>2212</v>
      </c>
      <c r="E86" s="361">
        <v>5171</v>
      </c>
      <c r="F86" s="314" t="s">
        <v>203</v>
      </c>
      <c r="G86" s="5">
        <v>0</v>
      </c>
      <c r="H86" s="4">
        <v>1442.435</v>
      </c>
      <c r="I86" s="4"/>
      <c r="J86" s="4">
        <f>H86+I86</f>
        <v>1442.435</v>
      </c>
    </row>
    <row r="87" spans="1:10" s="339" customFormat="1" ht="12" customHeight="1" hidden="1">
      <c r="A87" s="456"/>
      <c r="B87" s="351" t="s">
        <v>4</v>
      </c>
      <c r="C87" s="353" t="s">
        <v>220</v>
      </c>
      <c r="D87" s="354" t="s">
        <v>2</v>
      </c>
      <c r="E87" s="354" t="s">
        <v>2</v>
      </c>
      <c r="F87" s="355" t="s">
        <v>221</v>
      </c>
      <c r="G87" s="295">
        <f>SUM(G88:G90)</f>
        <v>0</v>
      </c>
      <c r="H87" s="105">
        <f>SUM(H88:H90)</f>
        <v>3268.2920000000004</v>
      </c>
      <c r="I87" s="295">
        <f>SUM(I88:I90)</f>
        <v>0</v>
      </c>
      <c r="J87" s="295">
        <f>SUM(J88:J90)</f>
        <v>3268.2920000000004</v>
      </c>
    </row>
    <row r="88" spans="1:10" s="339" customFormat="1" ht="12" customHeight="1" hidden="1">
      <c r="A88" s="456"/>
      <c r="B88" s="342"/>
      <c r="C88" s="358"/>
      <c r="D88" s="309">
        <v>2212</v>
      </c>
      <c r="E88" s="344">
        <v>5169</v>
      </c>
      <c r="F88" s="272" t="s">
        <v>60</v>
      </c>
      <c r="G88" s="346">
        <v>0</v>
      </c>
      <c r="H88" s="7">
        <f>20*1.21+2.5*1.21</f>
        <v>27.224999999999998</v>
      </c>
      <c r="I88" s="16"/>
      <c r="J88" s="275">
        <f>H88+I88</f>
        <v>27.224999999999998</v>
      </c>
    </row>
    <row r="89" spans="1:10" s="339" customFormat="1" ht="12" customHeight="1" hidden="1">
      <c r="A89" s="456"/>
      <c r="B89" s="342"/>
      <c r="C89" s="352" t="s">
        <v>200</v>
      </c>
      <c r="D89" s="309">
        <v>2212</v>
      </c>
      <c r="E89" s="344">
        <v>5169</v>
      </c>
      <c r="F89" s="272" t="s">
        <v>60</v>
      </c>
      <c r="G89" s="346">
        <v>0</v>
      </c>
      <c r="H89" s="7">
        <f>23.595+16.94</f>
        <v>40.535</v>
      </c>
      <c r="I89" s="16"/>
      <c r="J89" s="275">
        <f>H89+I89</f>
        <v>40.535</v>
      </c>
    </row>
    <row r="90" spans="1:10" ht="12" customHeight="1" hidden="1" thickBot="1">
      <c r="A90" s="456"/>
      <c r="B90" s="347"/>
      <c r="C90" s="348" t="s">
        <v>200</v>
      </c>
      <c r="D90" s="308">
        <v>2212</v>
      </c>
      <c r="E90" s="349">
        <v>5171</v>
      </c>
      <c r="F90" s="350" t="s">
        <v>203</v>
      </c>
      <c r="G90" s="5">
        <v>0</v>
      </c>
      <c r="H90" s="4">
        <v>3200.532</v>
      </c>
      <c r="I90" s="4"/>
      <c r="J90" s="5">
        <f>H90+I90</f>
        <v>3200.532</v>
      </c>
    </row>
    <row r="91" spans="1:10" s="339" customFormat="1" ht="12" customHeight="1" hidden="1">
      <c r="A91" s="456"/>
      <c r="B91" s="340" t="s">
        <v>4</v>
      </c>
      <c r="C91" s="341" t="s">
        <v>222</v>
      </c>
      <c r="D91" s="318" t="s">
        <v>2</v>
      </c>
      <c r="E91" s="318" t="s">
        <v>2</v>
      </c>
      <c r="F91" s="319" t="s">
        <v>223</v>
      </c>
      <c r="G91" s="295">
        <f>SUM(G92:G94)</f>
        <v>0</v>
      </c>
      <c r="H91" s="105">
        <f>SUM(H92:H94)</f>
        <v>4568.306</v>
      </c>
      <c r="I91" s="295">
        <f>SUM(I92:I94)</f>
        <v>0</v>
      </c>
      <c r="J91" s="295">
        <f>SUM(J92:J94)</f>
        <v>4568.306</v>
      </c>
    </row>
    <row r="92" spans="1:10" s="339" customFormat="1" ht="12" customHeight="1" hidden="1">
      <c r="A92" s="456"/>
      <c r="B92" s="342"/>
      <c r="C92" s="358"/>
      <c r="D92" s="309">
        <v>2212</v>
      </c>
      <c r="E92" s="344">
        <v>5169</v>
      </c>
      <c r="F92" s="272" t="s">
        <v>60</v>
      </c>
      <c r="G92" s="346">
        <v>0</v>
      </c>
      <c r="H92" s="7">
        <f>20*1.21+2.5*1.21</f>
        <v>27.224999999999998</v>
      </c>
      <c r="I92" s="16"/>
      <c r="J92" s="275">
        <f>H92+I92</f>
        <v>27.224999999999998</v>
      </c>
    </row>
    <row r="93" spans="1:10" s="339" customFormat="1" ht="12" customHeight="1" hidden="1">
      <c r="A93" s="456"/>
      <c r="B93" s="342"/>
      <c r="C93" s="352" t="s">
        <v>200</v>
      </c>
      <c r="D93" s="309">
        <v>2212</v>
      </c>
      <c r="E93" s="344">
        <v>5169</v>
      </c>
      <c r="F93" s="272" t="s">
        <v>60</v>
      </c>
      <c r="G93" s="346">
        <v>0</v>
      </c>
      <c r="H93" s="107">
        <f>84.7+32.85</f>
        <v>117.55000000000001</v>
      </c>
      <c r="I93" s="16"/>
      <c r="J93" s="275">
        <f>H93+I93</f>
        <v>117.55000000000001</v>
      </c>
    </row>
    <row r="94" spans="1:10" ht="12" customHeight="1" hidden="1" thickBot="1">
      <c r="A94" s="456"/>
      <c r="B94" s="347"/>
      <c r="C94" s="348" t="s">
        <v>200</v>
      </c>
      <c r="D94" s="299">
        <v>2212</v>
      </c>
      <c r="E94" s="361">
        <v>5171</v>
      </c>
      <c r="F94" s="314" t="s">
        <v>203</v>
      </c>
      <c r="G94" s="5">
        <v>0</v>
      </c>
      <c r="H94" s="4">
        <v>4423.531</v>
      </c>
      <c r="I94" s="4"/>
      <c r="J94" s="4">
        <f>H94+I94</f>
        <v>4423.531</v>
      </c>
    </row>
    <row r="95" spans="1:10" s="339" customFormat="1" ht="12" customHeight="1" hidden="1">
      <c r="A95" s="456"/>
      <c r="B95" s="340" t="s">
        <v>4</v>
      </c>
      <c r="C95" s="341" t="s">
        <v>224</v>
      </c>
      <c r="D95" s="318" t="s">
        <v>2</v>
      </c>
      <c r="E95" s="318" t="s">
        <v>2</v>
      </c>
      <c r="F95" s="319" t="s">
        <v>225</v>
      </c>
      <c r="G95" s="295">
        <f>SUM(G96:G98)</f>
        <v>0</v>
      </c>
      <c r="H95" s="105">
        <f>SUM(H96:H98)</f>
        <v>2274.2430000000004</v>
      </c>
      <c r="I95" s="295">
        <f>SUM(I96:I98)</f>
        <v>0</v>
      </c>
      <c r="J95" s="295">
        <f>SUM(J96:J98)</f>
        <v>2274.2430000000004</v>
      </c>
    </row>
    <row r="96" spans="1:10" s="339" customFormat="1" ht="12" customHeight="1" hidden="1">
      <c r="A96" s="456"/>
      <c r="B96" s="342"/>
      <c r="C96" s="358"/>
      <c r="D96" s="309">
        <v>2212</v>
      </c>
      <c r="E96" s="344">
        <v>5169</v>
      </c>
      <c r="F96" s="272" t="s">
        <v>60</v>
      </c>
      <c r="G96" s="346">
        <v>0</v>
      </c>
      <c r="H96" s="7">
        <f>20*1.21+2.5*1.21</f>
        <v>27.224999999999998</v>
      </c>
      <c r="I96" s="16"/>
      <c r="J96" s="275">
        <f>H96+I96</f>
        <v>27.224999999999998</v>
      </c>
    </row>
    <row r="97" spans="1:10" s="339" customFormat="1" ht="12" customHeight="1" hidden="1">
      <c r="A97" s="456"/>
      <c r="B97" s="342"/>
      <c r="C97" s="352" t="s">
        <v>200</v>
      </c>
      <c r="D97" s="309">
        <v>2212</v>
      </c>
      <c r="E97" s="344">
        <v>5169</v>
      </c>
      <c r="F97" s="272" t="s">
        <v>60</v>
      </c>
      <c r="G97" s="346">
        <v>0</v>
      </c>
      <c r="H97" s="7">
        <f>23.595+16.94</f>
        <v>40.535</v>
      </c>
      <c r="I97" s="16"/>
      <c r="J97" s="275">
        <f>H97+I97</f>
        <v>40.535</v>
      </c>
    </row>
    <row r="98" spans="1:10" ht="12" customHeight="1" hidden="1" thickBot="1">
      <c r="A98" s="456"/>
      <c r="B98" s="347"/>
      <c r="C98" s="348" t="s">
        <v>200</v>
      </c>
      <c r="D98" s="308">
        <v>2212</v>
      </c>
      <c r="E98" s="349">
        <v>5171</v>
      </c>
      <c r="F98" s="350" t="s">
        <v>203</v>
      </c>
      <c r="G98" s="5">
        <v>0</v>
      </c>
      <c r="H98" s="4">
        <v>2206.483</v>
      </c>
      <c r="I98" s="4"/>
      <c r="J98" s="5">
        <f>H98+I98</f>
        <v>2206.483</v>
      </c>
    </row>
    <row r="99" spans="1:10" s="339" customFormat="1" ht="12" customHeight="1" hidden="1">
      <c r="A99" s="456"/>
      <c r="B99" s="351" t="s">
        <v>4</v>
      </c>
      <c r="C99" s="353" t="s">
        <v>226</v>
      </c>
      <c r="D99" s="354" t="s">
        <v>2</v>
      </c>
      <c r="E99" s="354" t="s">
        <v>2</v>
      </c>
      <c r="F99" s="355" t="s">
        <v>227</v>
      </c>
      <c r="G99" s="295">
        <f>SUM(G100:G102)</f>
        <v>0</v>
      </c>
      <c r="H99" s="105">
        <f>SUM(H100:H102)</f>
        <v>3841.4120000000003</v>
      </c>
      <c r="I99" s="295">
        <f>SUM(I100:I102)</f>
        <v>0</v>
      </c>
      <c r="J99" s="295">
        <f>SUM(J100:J102)</f>
        <v>3841.4120000000003</v>
      </c>
    </row>
    <row r="100" spans="1:10" s="339" customFormat="1" ht="12" customHeight="1" hidden="1">
      <c r="A100" s="456"/>
      <c r="B100" s="342"/>
      <c r="C100" s="358"/>
      <c r="D100" s="309">
        <v>2212</v>
      </c>
      <c r="E100" s="344">
        <v>5169</v>
      </c>
      <c r="F100" s="272" t="s">
        <v>60</v>
      </c>
      <c r="G100" s="346">
        <v>0</v>
      </c>
      <c r="H100" s="7">
        <f>20*1.21+2.5*1.21</f>
        <v>27.224999999999998</v>
      </c>
      <c r="I100" s="16"/>
      <c r="J100" s="275">
        <f>H100+I100</f>
        <v>27.224999999999998</v>
      </c>
    </row>
    <row r="101" spans="1:10" s="339" customFormat="1" ht="12" customHeight="1" hidden="1">
      <c r="A101" s="456"/>
      <c r="B101" s="342"/>
      <c r="C101" s="352" t="s">
        <v>200</v>
      </c>
      <c r="D101" s="309">
        <v>2212</v>
      </c>
      <c r="E101" s="344">
        <v>5169</v>
      </c>
      <c r="F101" s="272" t="s">
        <v>60</v>
      </c>
      <c r="G101" s="346">
        <v>0</v>
      </c>
      <c r="H101" s="7">
        <f>23.595+16.94</f>
        <v>40.535</v>
      </c>
      <c r="I101" s="16"/>
      <c r="J101" s="275">
        <f>H101+I101</f>
        <v>40.535</v>
      </c>
    </row>
    <row r="102" spans="1:10" ht="12" customHeight="1" hidden="1" thickBot="1">
      <c r="A102" s="456"/>
      <c r="B102" s="347"/>
      <c r="C102" s="348" t="s">
        <v>200</v>
      </c>
      <c r="D102" s="308">
        <v>2212</v>
      </c>
      <c r="E102" s="349">
        <v>5171</v>
      </c>
      <c r="F102" s="350" t="s">
        <v>203</v>
      </c>
      <c r="G102" s="5">
        <v>0</v>
      </c>
      <c r="H102" s="4">
        <v>3773.652</v>
      </c>
      <c r="I102" s="4"/>
      <c r="J102" s="5">
        <f>H102+I102</f>
        <v>3773.652</v>
      </c>
    </row>
    <row r="103" spans="1:10" s="339" customFormat="1" ht="12" customHeight="1" hidden="1">
      <c r="A103" s="456"/>
      <c r="B103" s="340" t="s">
        <v>4</v>
      </c>
      <c r="C103" s="341" t="s">
        <v>228</v>
      </c>
      <c r="D103" s="318" t="s">
        <v>2</v>
      </c>
      <c r="E103" s="318" t="s">
        <v>2</v>
      </c>
      <c r="F103" s="319" t="s">
        <v>229</v>
      </c>
      <c r="G103" s="295">
        <f>SUM(G104:G106)</f>
        <v>0</v>
      </c>
      <c r="H103" s="105">
        <f>SUM(H104:H106)</f>
        <v>2598.464</v>
      </c>
      <c r="I103" s="295">
        <f>SUM(I104:I106)</f>
        <v>0</v>
      </c>
      <c r="J103" s="295">
        <f>SUM(J104:J106)</f>
        <v>2598.464</v>
      </c>
    </row>
    <row r="104" spans="1:10" s="339" customFormat="1" ht="12" customHeight="1" hidden="1">
      <c r="A104" s="456"/>
      <c r="B104" s="342"/>
      <c r="C104" s="358"/>
      <c r="D104" s="309">
        <v>2212</v>
      </c>
      <c r="E104" s="344">
        <v>5169</v>
      </c>
      <c r="F104" s="272" t="s">
        <v>60</v>
      </c>
      <c r="G104" s="346">
        <v>0</v>
      </c>
      <c r="H104" s="7">
        <f>20*1.21+2.5*1.21</f>
        <v>27.224999999999998</v>
      </c>
      <c r="I104" s="16"/>
      <c r="J104" s="275">
        <f>H104+I104</f>
        <v>27.224999999999998</v>
      </c>
    </row>
    <row r="105" spans="1:10" s="339" customFormat="1" ht="12" customHeight="1" hidden="1">
      <c r="A105" s="456"/>
      <c r="B105" s="342"/>
      <c r="C105" s="352" t="s">
        <v>200</v>
      </c>
      <c r="D105" s="309">
        <v>2212</v>
      </c>
      <c r="E105" s="344">
        <v>5169</v>
      </c>
      <c r="F105" s="272" t="s">
        <v>60</v>
      </c>
      <c r="G105" s="346">
        <v>0</v>
      </c>
      <c r="H105" s="7">
        <f>23.595+16.94</f>
        <v>40.535</v>
      </c>
      <c r="I105" s="16"/>
      <c r="J105" s="275">
        <f>H105+I105</f>
        <v>40.535</v>
      </c>
    </row>
    <row r="106" spans="1:10" ht="12" customHeight="1" hidden="1" thickBot="1">
      <c r="A106" s="456"/>
      <c r="B106" s="347"/>
      <c r="C106" s="348" t="s">
        <v>200</v>
      </c>
      <c r="D106" s="308">
        <v>2212</v>
      </c>
      <c r="E106" s="349">
        <v>5171</v>
      </c>
      <c r="F106" s="350" t="s">
        <v>203</v>
      </c>
      <c r="G106" s="5">
        <v>0</v>
      </c>
      <c r="H106" s="4">
        <v>2530.704</v>
      </c>
      <c r="I106" s="4"/>
      <c r="J106" s="5">
        <f>H106+I106</f>
        <v>2530.704</v>
      </c>
    </row>
    <row r="107" spans="1:10" s="339" customFormat="1" ht="12" customHeight="1" hidden="1">
      <c r="A107" s="456"/>
      <c r="B107" s="340" t="s">
        <v>4</v>
      </c>
      <c r="C107" s="341" t="s">
        <v>230</v>
      </c>
      <c r="D107" s="318" t="s">
        <v>2</v>
      </c>
      <c r="E107" s="318" t="s">
        <v>2</v>
      </c>
      <c r="F107" s="319" t="s">
        <v>231</v>
      </c>
      <c r="G107" s="295">
        <f>SUM(G108:G110)</f>
        <v>0</v>
      </c>
      <c r="H107" s="105">
        <f>SUM(H108:H110)</f>
        <v>12045.525</v>
      </c>
      <c r="I107" s="295">
        <f>SUM(I108:I110)</f>
        <v>0</v>
      </c>
      <c r="J107" s="295">
        <f>SUM(J108:J110)</f>
        <v>12045.525</v>
      </c>
    </row>
    <row r="108" spans="1:10" s="339" customFormat="1" ht="12" customHeight="1" hidden="1">
      <c r="A108" s="456"/>
      <c r="B108" s="342"/>
      <c r="C108" s="358"/>
      <c r="D108" s="309">
        <v>2212</v>
      </c>
      <c r="E108" s="344">
        <v>5169</v>
      </c>
      <c r="F108" s="272" t="s">
        <v>60</v>
      </c>
      <c r="G108" s="346">
        <v>0</v>
      </c>
      <c r="H108" s="7">
        <f>20*1.21+2.5*1.21</f>
        <v>27.224999999999998</v>
      </c>
      <c r="I108" s="16"/>
      <c r="J108" s="275">
        <f>H108+I108</f>
        <v>27.224999999999998</v>
      </c>
    </row>
    <row r="109" spans="1:10" s="339" customFormat="1" ht="12" customHeight="1" hidden="1">
      <c r="A109" s="456"/>
      <c r="B109" s="342"/>
      <c r="C109" s="352" t="s">
        <v>200</v>
      </c>
      <c r="D109" s="309">
        <v>2212</v>
      </c>
      <c r="E109" s="344">
        <v>5169</v>
      </c>
      <c r="F109" s="272" t="s">
        <v>60</v>
      </c>
      <c r="G109" s="346">
        <v>0</v>
      </c>
      <c r="H109" s="7">
        <f>109.384+66.55</f>
        <v>175.934</v>
      </c>
      <c r="I109" s="16"/>
      <c r="J109" s="275">
        <f>H109+I109</f>
        <v>175.934</v>
      </c>
    </row>
    <row r="110" spans="1:10" ht="12" customHeight="1" hidden="1" thickBot="1">
      <c r="A110" s="456"/>
      <c r="B110" s="347"/>
      <c r="C110" s="348" t="s">
        <v>200</v>
      </c>
      <c r="D110" s="308">
        <v>2212</v>
      </c>
      <c r="E110" s="349">
        <v>5171</v>
      </c>
      <c r="F110" s="350" t="s">
        <v>203</v>
      </c>
      <c r="G110" s="5">
        <v>0</v>
      </c>
      <c r="H110" s="4">
        <f>12647.152-804.786</f>
        <v>11842.366</v>
      </c>
      <c r="I110" s="4"/>
      <c r="J110" s="5">
        <f>H110+I110</f>
        <v>11842.366</v>
      </c>
    </row>
    <row r="111" spans="1:10" s="339" customFormat="1" ht="12" customHeight="1" hidden="1">
      <c r="A111" s="456"/>
      <c r="B111" s="340" t="s">
        <v>4</v>
      </c>
      <c r="C111" s="341" t="s">
        <v>232</v>
      </c>
      <c r="D111" s="318" t="s">
        <v>2</v>
      </c>
      <c r="E111" s="318" t="s">
        <v>2</v>
      </c>
      <c r="F111" s="319" t="s">
        <v>233</v>
      </c>
      <c r="G111" s="295">
        <f>SUM(G112:G114)</f>
        <v>0</v>
      </c>
      <c r="H111" s="105">
        <f>SUM(H112:H114)</f>
        <v>2387.426</v>
      </c>
      <c r="I111" s="295">
        <f>SUM(I112:I114)</f>
        <v>0</v>
      </c>
      <c r="J111" s="295">
        <f>SUM(J112:J114)</f>
        <v>2387.426</v>
      </c>
    </row>
    <row r="112" spans="1:10" s="339" customFormat="1" ht="12" customHeight="1" hidden="1">
      <c r="A112" s="456"/>
      <c r="B112" s="342"/>
      <c r="C112" s="358"/>
      <c r="D112" s="309">
        <v>2212</v>
      </c>
      <c r="E112" s="344">
        <v>5169</v>
      </c>
      <c r="F112" s="272" t="s">
        <v>60</v>
      </c>
      <c r="G112" s="346">
        <v>0</v>
      </c>
      <c r="H112" s="7">
        <f>20*1.21+2.5*1.21</f>
        <v>27.224999999999998</v>
      </c>
      <c r="I112" s="16"/>
      <c r="J112" s="275">
        <f>H112+I112</f>
        <v>27.224999999999998</v>
      </c>
    </row>
    <row r="113" spans="1:10" s="339" customFormat="1" ht="12" customHeight="1" hidden="1">
      <c r="A113" s="456"/>
      <c r="B113" s="342"/>
      <c r="C113" s="352" t="s">
        <v>200</v>
      </c>
      <c r="D113" s="309">
        <v>2212</v>
      </c>
      <c r="E113" s="344">
        <v>5169</v>
      </c>
      <c r="F113" s="272" t="s">
        <v>60</v>
      </c>
      <c r="G113" s="346">
        <v>0</v>
      </c>
      <c r="H113" s="7">
        <f>31.158+33.275</f>
        <v>64.43299999999999</v>
      </c>
      <c r="I113" s="16"/>
      <c r="J113" s="275">
        <f>H113+I113</f>
        <v>64.43299999999999</v>
      </c>
    </row>
    <row r="114" spans="1:10" ht="12" customHeight="1" hidden="1" thickBot="1">
      <c r="A114" s="456"/>
      <c r="B114" s="347"/>
      <c r="C114" s="348" t="s">
        <v>200</v>
      </c>
      <c r="D114" s="299">
        <v>2212</v>
      </c>
      <c r="E114" s="361">
        <v>5171</v>
      </c>
      <c r="F114" s="314" t="s">
        <v>203</v>
      </c>
      <c r="G114" s="5">
        <v>0</v>
      </c>
      <c r="H114" s="4">
        <v>2295.768</v>
      </c>
      <c r="I114" s="4"/>
      <c r="J114" s="4">
        <f>H114+I114</f>
        <v>2295.768</v>
      </c>
    </row>
    <row r="115" spans="1:10" ht="12" customHeight="1" hidden="1">
      <c r="A115" s="456"/>
      <c r="B115" s="340" t="s">
        <v>4</v>
      </c>
      <c r="C115" s="312" t="s">
        <v>234</v>
      </c>
      <c r="D115" s="318" t="s">
        <v>2</v>
      </c>
      <c r="E115" s="318" t="s">
        <v>2</v>
      </c>
      <c r="F115" s="319" t="s">
        <v>235</v>
      </c>
      <c r="G115" s="295">
        <f>SUM(G116:G117)</f>
        <v>0</v>
      </c>
      <c r="H115" s="105">
        <f>SUM(H116:H117)</f>
        <v>65.945</v>
      </c>
      <c r="I115" s="295">
        <f>SUM(I116:I117)</f>
        <v>0</v>
      </c>
      <c r="J115" s="295">
        <f>SUM(J116:J117)</f>
        <v>65.945</v>
      </c>
    </row>
    <row r="116" spans="1:10" ht="12" customHeight="1" hidden="1">
      <c r="A116" s="456"/>
      <c r="B116" s="320"/>
      <c r="C116" s="321"/>
      <c r="D116" s="309">
        <v>2212</v>
      </c>
      <c r="E116" s="344">
        <v>5169</v>
      </c>
      <c r="F116" s="272" t="s">
        <v>60</v>
      </c>
      <c r="G116" s="7">
        <v>0</v>
      </c>
      <c r="H116" s="7">
        <v>9.892</v>
      </c>
      <c r="I116" s="7"/>
      <c r="J116" s="7">
        <f>H116+I116</f>
        <v>9.892</v>
      </c>
    </row>
    <row r="117" spans="1:10" ht="12" customHeight="1" hidden="1" thickBot="1">
      <c r="A117" s="456"/>
      <c r="B117" s="330"/>
      <c r="C117" s="366" t="s">
        <v>200</v>
      </c>
      <c r="D117" s="309">
        <v>2212</v>
      </c>
      <c r="E117" s="344">
        <v>5169</v>
      </c>
      <c r="F117" s="272" t="s">
        <v>60</v>
      </c>
      <c r="G117" s="6">
        <v>0</v>
      </c>
      <c r="H117" s="4">
        <v>56.053</v>
      </c>
      <c r="I117" s="4"/>
      <c r="J117" s="7">
        <f>H117+I117</f>
        <v>56.053</v>
      </c>
    </row>
    <row r="118" spans="1:10" ht="12" customHeight="1" hidden="1">
      <c r="A118" s="456"/>
      <c r="B118" s="340" t="s">
        <v>4</v>
      </c>
      <c r="C118" s="312" t="s">
        <v>236</v>
      </c>
      <c r="D118" s="318" t="s">
        <v>2</v>
      </c>
      <c r="E118" s="318" t="s">
        <v>2</v>
      </c>
      <c r="F118" s="319" t="s">
        <v>237</v>
      </c>
      <c r="G118" s="295">
        <f>SUM(G119:G120)</f>
        <v>0</v>
      </c>
      <c r="H118" s="105">
        <f>SUM(H119:H120)</f>
        <v>65.945</v>
      </c>
      <c r="I118" s="295">
        <f>SUM(I119:I120)</f>
        <v>0</v>
      </c>
      <c r="J118" s="295">
        <f>SUM(J119:J120)</f>
        <v>65.945</v>
      </c>
    </row>
    <row r="119" spans="1:10" ht="12" customHeight="1" hidden="1">
      <c r="A119" s="456"/>
      <c r="B119" s="320"/>
      <c r="C119" s="321"/>
      <c r="D119" s="309">
        <v>2212</v>
      </c>
      <c r="E119" s="344">
        <v>5169</v>
      </c>
      <c r="F119" s="272" t="s">
        <v>60</v>
      </c>
      <c r="G119" s="7">
        <v>0</v>
      </c>
      <c r="H119" s="7">
        <v>9.892</v>
      </c>
      <c r="I119" s="7"/>
      <c r="J119" s="7">
        <f>H119+I119</f>
        <v>9.892</v>
      </c>
    </row>
    <row r="120" spans="1:10" ht="12" customHeight="1" hidden="1" thickBot="1">
      <c r="A120" s="456"/>
      <c r="B120" s="330"/>
      <c r="C120" s="366" t="s">
        <v>200</v>
      </c>
      <c r="D120" s="309">
        <v>2212</v>
      </c>
      <c r="E120" s="344">
        <v>5169</v>
      </c>
      <c r="F120" s="272" t="s">
        <v>60</v>
      </c>
      <c r="G120" s="6">
        <v>0</v>
      </c>
      <c r="H120" s="4">
        <v>56.053</v>
      </c>
      <c r="I120" s="4"/>
      <c r="J120" s="7">
        <f>H120+I120</f>
        <v>56.053</v>
      </c>
    </row>
    <row r="121" spans="1:10" ht="12" customHeight="1" hidden="1">
      <c r="A121" s="456"/>
      <c r="B121" s="340" t="s">
        <v>4</v>
      </c>
      <c r="C121" s="312" t="s">
        <v>238</v>
      </c>
      <c r="D121" s="318" t="s">
        <v>2</v>
      </c>
      <c r="E121" s="318" t="s">
        <v>2</v>
      </c>
      <c r="F121" s="319" t="s">
        <v>239</v>
      </c>
      <c r="G121" s="295">
        <f>SUM(G122:G123)</f>
        <v>0</v>
      </c>
      <c r="H121" s="105">
        <f>SUM(H122:H123)</f>
        <v>59.894999999999996</v>
      </c>
      <c r="I121" s="295">
        <f>SUM(I122:I123)</f>
        <v>0</v>
      </c>
      <c r="J121" s="295">
        <f>SUM(J122:J123)</f>
        <v>59.894999999999996</v>
      </c>
    </row>
    <row r="122" spans="1:10" ht="12" customHeight="1" hidden="1">
      <c r="A122" s="456"/>
      <c r="B122" s="320"/>
      <c r="C122" s="321"/>
      <c r="D122" s="309">
        <v>2212</v>
      </c>
      <c r="E122" s="344">
        <v>5169</v>
      </c>
      <c r="F122" s="272" t="s">
        <v>60</v>
      </c>
      <c r="G122" s="7">
        <v>0</v>
      </c>
      <c r="H122" s="7">
        <v>8.9845</v>
      </c>
      <c r="I122" s="7"/>
      <c r="J122" s="7">
        <f>H122+I122</f>
        <v>8.9845</v>
      </c>
    </row>
    <row r="123" spans="1:10" ht="12" customHeight="1" hidden="1" thickBot="1">
      <c r="A123" s="456"/>
      <c r="B123" s="330"/>
      <c r="C123" s="366" t="s">
        <v>200</v>
      </c>
      <c r="D123" s="309">
        <v>2212</v>
      </c>
      <c r="E123" s="344">
        <v>5169</v>
      </c>
      <c r="F123" s="272" t="s">
        <v>60</v>
      </c>
      <c r="G123" s="6">
        <v>0</v>
      </c>
      <c r="H123" s="4">
        <v>50.9105</v>
      </c>
      <c r="I123" s="4"/>
      <c r="J123" s="7">
        <f>H123+I123</f>
        <v>50.9105</v>
      </c>
    </row>
    <row r="124" spans="1:10" ht="12" customHeight="1" hidden="1">
      <c r="A124" s="456"/>
      <c r="B124" s="340" t="s">
        <v>4</v>
      </c>
      <c r="C124" s="312" t="s">
        <v>240</v>
      </c>
      <c r="D124" s="318" t="s">
        <v>2</v>
      </c>
      <c r="E124" s="318" t="s">
        <v>2</v>
      </c>
      <c r="F124" s="319" t="s">
        <v>241</v>
      </c>
      <c r="G124" s="295">
        <f>SUM(G125:G127)</f>
        <v>0</v>
      </c>
      <c r="H124" s="105">
        <f>SUM(H125:H127)</f>
        <v>788.378</v>
      </c>
      <c r="I124" s="295">
        <f>SUM(I125:I127)</f>
        <v>0</v>
      </c>
      <c r="J124" s="295">
        <f>SUM(J125:J127)</f>
        <v>788.378</v>
      </c>
    </row>
    <row r="125" spans="1:10" ht="12" customHeight="1" hidden="1">
      <c r="A125" s="456"/>
      <c r="B125" s="320"/>
      <c r="C125" s="321"/>
      <c r="D125" s="309">
        <v>2212</v>
      </c>
      <c r="E125" s="344">
        <v>5169</v>
      </c>
      <c r="F125" s="272" t="s">
        <v>60</v>
      </c>
      <c r="G125" s="7">
        <v>0</v>
      </c>
      <c r="H125" s="7">
        <v>8.9845</v>
      </c>
      <c r="I125" s="7"/>
      <c r="J125" s="7">
        <f>H125+I125</f>
        <v>8.9845</v>
      </c>
    </row>
    <row r="126" spans="1:10" ht="12" customHeight="1" hidden="1">
      <c r="A126" s="456"/>
      <c r="B126" s="320"/>
      <c r="C126" s="352" t="s">
        <v>200</v>
      </c>
      <c r="D126" s="309">
        <v>2212</v>
      </c>
      <c r="E126" s="344">
        <v>5169</v>
      </c>
      <c r="F126" s="272" t="s">
        <v>60</v>
      </c>
      <c r="G126" s="7">
        <v>0</v>
      </c>
      <c r="H126" s="7">
        <f>50.9105+15.579+13.612</f>
        <v>80.10149999999999</v>
      </c>
      <c r="I126" s="7"/>
      <c r="J126" s="7">
        <f>H126+I126</f>
        <v>80.10149999999999</v>
      </c>
    </row>
    <row r="127" spans="1:10" ht="12" customHeight="1" hidden="1" thickBot="1">
      <c r="A127" s="456"/>
      <c r="B127" s="367"/>
      <c r="C127" s="326"/>
      <c r="D127" s="368">
        <v>2212</v>
      </c>
      <c r="E127" s="369">
        <v>5171</v>
      </c>
      <c r="F127" s="370" t="s">
        <v>203</v>
      </c>
      <c r="G127" s="16">
        <v>0</v>
      </c>
      <c r="H127" s="4">
        <f>724.393-25.101</f>
        <v>699.292</v>
      </c>
      <c r="I127" s="4"/>
      <c r="J127" s="16">
        <f>H127+I127</f>
        <v>699.292</v>
      </c>
    </row>
    <row r="128" spans="1:10" ht="12" customHeight="1" hidden="1">
      <c r="A128" s="456"/>
      <c r="B128" s="340" t="s">
        <v>4</v>
      </c>
      <c r="C128" s="312" t="s">
        <v>242</v>
      </c>
      <c r="D128" s="318" t="s">
        <v>2</v>
      </c>
      <c r="E128" s="318" t="s">
        <v>2</v>
      </c>
      <c r="F128" s="319" t="s">
        <v>243</v>
      </c>
      <c r="G128" s="295">
        <f>SUM(G129:G131)</f>
        <v>0</v>
      </c>
      <c r="H128" s="105">
        <f>SUM(H129:H131)</f>
        <v>1089.999</v>
      </c>
      <c r="I128" s="295">
        <f>SUM(I129:I131)</f>
        <v>0</v>
      </c>
      <c r="J128" s="295">
        <f>SUM(J129:J131)</f>
        <v>1089.999</v>
      </c>
    </row>
    <row r="129" spans="1:10" ht="12" customHeight="1" hidden="1">
      <c r="A129" s="456"/>
      <c r="B129" s="320"/>
      <c r="C129" s="321"/>
      <c r="D129" s="309">
        <v>2212</v>
      </c>
      <c r="E129" s="344">
        <v>5169</v>
      </c>
      <c r="F129" s="272" t="s">
        <v>60</v>
      </c>
      <c r="G129" s="7">
        <v>0</v>
      </c>
      <c r="H129" s="7">
        <v>9.892</v>
      </c>
      <c r="I129" s="7"/>
      <c r="J129" s="7">
        <f>H129+I129</f>
        <v>9.892</v>
      </c>
    </row>
    <row r="130" spans="1:10" ht="12" customHeight="1" hidden="1">
      <c r="A130" s="456"/>
      <c r="B130" s="371"/>
      <c r="C130" s="352" t="s">
        <v>200</v>
      </c>
      <c r="D130" s="309">
        <v>2212</v>
      </c>
      <c r="E130" s="344">
        <v>5169</v>
      </c>
      <c r="F130" s="272" t="s">
        <v>60</v>
      </c>
      <c r="G130" s="7">
        <v>0</v>
      </c>
      <c r="H130" s="7">
        <f>56.053+36.3+40.559</f>
        <v>132.91199999999998</v>
      </c>
      <c r="I130" s="7"/>
      <c r="J130" s="7">
        <f>H130+I130</f>
        <v>132.91199999999998</v>
      </c>
    </row>
    <row r="131" spans="1:10" ht="12" customHeight="1" hidden="1" thickBot="1">
      <c r="A131" s="456"/>
      <c r="B131" s="372"/>
      <c r="C131" s="326"/>
      <c r="D131" s="368">
        <v>2212</v>
      </c>
      <c r="E131" s="369">
        <v>5171</v>
      </c>
      <c r="F131" s="370" t="s">
        <v>203</v>
      </c>
      <c r="G131" s="6">
        <v>0</v>
      </c>
      <c r="H131" s="4">
        <v>947.195</v>
      </c>
      <c r="I131" s="4"/>
      <c r="J131" s="16">
        <f>H131+I131</f>
        <v>947.195</v>
      </c>
    </row>
    <row r="132" spans="1:10" ht="12" customHeight="1" hidden="1">
      <c r="A132" s="456"/>
      <c r="B132" s="340" t="s">
        <v>4</v>
      </c>
      <c r="C132" s="312" t="s">
        <v>244</v>
      </c>
      <c r="D132" s="318" t="s">
        <v>2</v>
      </c>
      <c r="E132" s="318" t="s">
        <v>2</v>
      </c>
      <c r="F132" s="319" t="s">
        <v>245</v>
      </c>
      <c r="G132" s="295">
        <f>SUM(G133:G135)</f>
        <v>0</v>
      </c>
      <c r="H132" s="295">
        <f>SUM(H133:H135)</f>
        <v>784.266</v>
      </c>
      <c r="I132" s="295">
        <f>SUM(I133:I135)</f>
        <v>0</v>
      </c>
      <c r="J132" s="295">
        <f>SUM(J133:J135)</f>
        <v>784.266</v>
      </c>
    </row>
    <row r="133" spans="1:10" ht="12" customHeight="1" hidden="1">
      <c r="A133" s="456"/>
      <c r="B133" s="320"/>
      <c r="C133" s="321"/>
      <c r="D133" s="309">
        <v>2212</v>
      </c>
      <c r="E133" s="344">
        <v>5169</v>
      </c>
      <c r="F133" s="272" t="s">
        <v>60</v>
      </c>
      <c r="G133" s="7">
        <v>0</v>
      </c>
      <c r="H133" s="7">
        <v>8.9845</v>
      </c>
      <c r="I133" s="7"/>
      <c r="J133" s="7">
        <f>H133+I133</f>
        <v>8.9845</v>
      </c>
    </row>
    <row r="134" spans="1:10" ht="12" customHeight="1" hidden="1">
      <c r="A134" s="456"/>
      <c r="B134" s="320"/>
      <c r="C134" s="352" t="s">
        <v>200</v>
      </c>
      <c r="D134" s="309">
        <v>2212</v>
      </c>
      <c r="E134" s="344">
        <v>5169</v>
      </c>
      <c r="F134" s="272" t="s">
        <v>60</v>
      </c>
      <c r="G134" s="7">
        <v>0</v>
      </c>
      <c r="H134" s="7">
        <f>50.9105+15.579+13.613</f>
        <v>80.10249999999999</v>
      </c>
      <c r="I134" s="7"/>
      <c r="J134" s="7">
        <f>H134+I134</f>
        <v>80.10249999999999</v>
      </c>
    </row>
    <row r="135" spans="1:10" ht="12" customHeight="1" hidden="1" thickBot="1">
      <c r="A135" s="456"/>
      <c r="B135" s="347"/>
      <c r="C135" s="348" t="s">
        <v>200</v>
      </c>
      <c r="D135" s="308">
        <v>2212</v>
      </c>
      <c r="E135" s="349">
        <v>5171</v>
      </c>
      <c r="F135" s="350" t="s">
        <v>203</v>
      </c>
      <c r="G135" s="5">
        <v>0</v>
      </c>
      <c r="H135" s="5">
        <v>695.179</v>
      </c>
      <c r="I135" s="5"/>
      <c r="J135" s="5">
        <f>H135+I135</f>
        <v>695.179</v>
      </c>
    </row>
    <row r="136" spans="1:10" ht="12" customHeight="1" hidden="1">
      <c r="A136" s="456"/>
      <c r="B136" s="340" t="s">
        <v>4</v>
      </c>
      <c r="C136" s="312" t="s">
        <v>246</v>
      </c>
      <c r="D136" s="318" t="s">
        <v>2</v>
      </c>
      <c r="E136" s="318" t="s">
        <v>2</v>
      </c>
      <c r="F136" s="319" t="s">
        <v>247</v>
      </c>
      <c r="G136" s="295">
        <f>SUM(G137:G138)</f>
        <v>0</v>
      </c>
      <c r="H136" s="105">
        <f>SUM(H137:H138)</f>
        <v>65.945</v>
      </c>
      <c r="I136" s="295">
        <f>SUM(I137:I138)</f>
        <v>0</v>
      </c>
      <c r="J136" s="295">
        <f>SUM(J137:J138)</f>
        <v>65.945</v>
      </c>
    </row>
    <row r="137" spans="1:10" ht="12" customHeight="1" hidden="1">
      <c r="A137" s="456"/>
      <c r="B137" s="320"/>
      <c r="C137" s="321"/>
      <c r="D137" s="309">
        <v>2212</v>
      </c>
      <c r="E137" s="344">
        <v>5169</v>
      </c>
      <c r="F137" s="272" t="s">
        <v>60</v>
      </c>
      <c r="G137" s="7">
        <v>0</v>
      </c>
      <c r="H137" s="7">
        <v>9.892</v>
      </c>
      <c r="I137" s="7"/>
      <c r="J137" s="7">
        <f>H137+I137</f>
        <v>9.892</v>
      </c>
    </row>
    <row r="138" spans="1:10" ht="12" customHeight="1" hidden="1" thickBot="1">
      <c r="A138" s="456"/>
      <c r="B138" s="359"/>
      <c r="C138" s="360" t="s">
        <v>200</v>
      </c>
      <c r="D138" s="299">
        <v>2212</v>
      </c>
      <c r="E138" s="361">
        <v>5169</v>
      </c>
      <c r="F138" s="273" t="s">
        <v>60</v>
      </c>
      <c r="G138" s="4">
        <v>0</v>
      </c>
      <c r="H138" s="4">
        <v>56.053</v>
      </c>
      <c r="I138" s="4"/>
      <c r="J138" s="4">
        <f>H138+I138</f>
        <v>56.053</v>
      </c>
    </row>
    <row r="139" spans="1:10" ht="12" customHeight="1" hidden="1">
      <c r="A139" s="456"/>
      <c r="B139" s="340" t="s">
        <v>4</v>
      </c>
      <c r="C139" s="312" t="s">
        <v>248</v>
      </c>
      <c r="D139" s="318" t="s">
        <v>2</v>
      </c>
      <c r="E139" s="318" t="s">
        <v>2</v>
      </c>
      <c r="F139" s="319" t="s">
        <v>249</v>
      </c>
      <c r="G139" s="295">
        <f>SUM(G140:G142)</f>
        <v>0</v>
      </c>
      <c r="H139" s="105">
        <f>SUM(H140:H142)</f>
        <v>1071.018</v>
      </c>
      <c r="I139" s="295">
        <f>SUM(I140:I142)</f>
        <v>0</v>
      </c>
      <c r="J139" s="295">
        <f>SUM(J140:J142)</f>
        <v>1071.018</v>
      </c>
    </row>
    <row r="140" spans="1:10" ht="12" customHeight="1" hidden="1">
      <c r="A140" s="456"/>
      <c r="B140" s="320"/>
      <c r="C140" s="321"/>
      <c r="D140" s="309">
        <v>2212</v>
      </c>
      <c r="E140" s="344">
        <v>5169</v>
      </c>
      <c r="F140" s="272" t="s">
        <v>60</v>
      </c>
      <c r="G140" s="7">
        <v>0</v>
      </c>
      <c r="H140" s="7">
        <v>8.9845</v>
      </c>
      <c r="I140" s="7"/>
      <c r="J140" s="7">
        <f>H140+I140</f>
        <v>8.9845</v>
      </c>
    </row>
    <row r="141" spans="1:10" ht="12" customHeight="1" hidden="1">
      <c r="A141" s="456"/>
      <c r="B141" s="320"/>
      <c r="C141" s="352" t="s">
        <v>200</v>
      </c>
      <c r="D141" s="309">
        <v>2212</v>
      </c>
      <c r="E141" s="344">
        <v>5169</v>
      </c>
      <c r="F141" s="272" t="s">
        <v>60</v>
      </c>
      <c r="G141" s="7">
        <v>0</v>
      </c>
      <c r="H141" s="7">
        <f>50.9105+16.311+20.207</f>
        <v>87.42849999999999</v>
      </c>
      <c r="I141" s="7"/>
      <c r="J141" s="7">
        <f>H141+I141</f>
        <v>87.42849999999999</v>
      </c>
    </row>
    <row r="142" spans="1:10" ht="12" customHeight="1" hidden="1" thickBot="1">
      <c r="A142" s="456"/>
      <c r="B142" s="347"/>
      <c r="C142" s="348" t="s">
        <v>200</v>
      </c>
      <c r="D142" s="308">
        <v>2212</v>
      </c>
      <c r="E142" s="349">
        <v>5171</v>
      </c>
      <c r="F142" s="350" t="s">
        <v>203</v>
      </c>
      <c r="G142" s="5">
        <v>0</v>
      </c>
      <c r="H142" s="4">
        <v>974.605</v>
      </c>
      <c r="I142" s="4"/>
      <c r="J142" s="5">
        <f>H142+I142</f>
        <v>974.605</v>
      </c>
    </row>
    <row r="143" spans="1:10" ht="12" customHeight="1" hidden="1">
      <c r="A143" s="456"/>
      <c r="B143" s="340" t="s">
        <v>4</v>
      </c>
      <c r="C143" s="312" t="s">
        <v>250</v>
      </c>
      <c r="D143" s="318" t="s">
        <v>2</v>
      </c>
      <c r="E143" s="318" t="s">
        <v>2</v>
      </c>
      <c r="F143" s="319" t="s">
        <v>251</v>
      </c>
      <c r="G143" s="295">
        <f>SUM(G144:G145)</f>
        <v>0</v>
      </c>
      <c r="H143" s="105">
        <f>SUM(H144:H145)</f>
        <v>65.945</v>
      </c>
      <c r="I143" s="295">
        <f>SUM(I144:I145)</f>
        <v>0</v>
      </c>
      <c r="J143" s="295">
        <f>SUM(J144:J145)</f>
        <v>65.945</v>
      </c>
    </row>
    <row r="144" spans="1:10" ht="12" customHeight="1" hidden="1">
      <c r="A144" s="456"/>
      <c r="B144" s="320"/>
      <c r="C144" s="321"/>
      <c r="D144" s="309">
        <v>2212</v>
      </c>
      <c r="E144" s="344">
        <v>5169</v>
      </c>
      <c r="F144" s="272" t="s">
        <v>60</v>
      </c>
      <c r="G144" s="7">
        <v>0</v>
      </c>
      <c r="H144" s="7">
        <v>9.892</v>
      </c>
      <c r="I144" s="7"/>
      <c r="J144" s="7">
        <f>H144+I144</f>
        <v>9.892</v>
      </c>
    </row>
    <row r="145" spans="1:10" ht="12" customHeight="1" hidden="1" thickBot="1">
      <c r="A145" s="456"/>
      <c r="B145" s="330"/>
      <c r="C145" s="366" t="s">
        <v>200</v>
      </c>
      <c r="D145" s="309">
        <v>2212</v>
      </c>
      <c r="E145" s="344">
        <v>5169</v>
      </c>
      <c r="F145" s="272" t="s">
        <v>60</v>
      </c>
      <c r="G145" s="6">
        <v>0</v>
      </c>
      <c r="H145" s="4">
        <v>56.053</v>
      </c>
      <c r="I145" s="4"/>
      <c r="J145" s="7">
        <f>H145+I145</f>
        <v>56.053</v>
      </c>
    </row>
    <row r="146" spans="1:10" ht="12" customHeight="1" hidden="1">
      <c r="A146" s="456"/>
      <c r="B146" s="340" t="s">
        <v>4</v>
      </c>
      <c r="C146" s="312" t="s">
        <v>252</v>
      </c>
      <c r="D146" s="318" t="s">
        <v>2</v>
      </c>
      <c r="E146" s="318" t="s">
        <v>2</v>
      </c>
      <c r="F146" s="319" t="s">
        <v>253</v>
      </c>
      <c r="G146" s="295">
        <f>SUM(G147:G149)</f>
        <v>0</v>
      </c>
      <c r="H146" s="105">
        <f>SUM(H147:H149)</f>
        <v>2172.6870000000004</v>
      </c>
      <c r="I146" s="295">
        <f>SUM(I147:I149)</f>
        <v>0</v>
      </c>
      <c r="J146" s="295">
        <f>SUM(J147:J149)</f>
        <v>2172.6870000000004</v>
      </c>
    </row>
    <row r="147" spans="1:10" ht="12" customHeight="1" hidden="1">
      <c r="A147" s="456"/>
      <c r="B147" s="320"/>
      <c r="C147" s="321"/>
      <c r="D147" s="309">
        <v>2212</v>
      </c>
      <c r="E147" s="344">
        <v>5169</v>
      </c>
      <c r="F147" s="272" t="s">
        <v>60</v>
      </c>
      <c r="G147" s="7">
        <v>0</v>
      </c>
      <c r="H147" s="7">
        <v>9.892</v>
      </c>
      <c r="I147" s="7"/>
      <c r="J147" s="7">
        <f>H147+I147</f>
        <v>9.892</v>
      </c>
    </row>
    <row r="148" spans="1:10" ht="12" customHeight="1" hidden="1">
      <c r="A148" s="456"/>
      <c r="B148" s="320"/>
      <c r="C148" s="352" t="s">
        <v>200</v>
      </c>
      <c r="D148" s="309">
        <v>2212</v>
      </c>
      <c r="E148" s="344">
        <v>5169</v>
      </c>
      <c r="F148" s="272" t="s">
        <v>60</v>
      </c>
      <c r="G148" s="7">
        <v>0</v>
      </c>
      <c r="H148" s="7">
        <f>56.053+16.311+20.207</f>
        <v>92.571</v>
      </c>
      <c r="I148" s="7"/>
      <c r="J148" s="7">
        <f>H148+I148</f>
        <v>92.571</v>
      </c>
    </row>
    <row r="149" spans="1:10" ht="12" customHeight="1" hidden="1" thickBot="1">
      <c r="A149" s="456"/>
      <c r="B149" s="347"/>
      <c r="C149" s="326"/>
      <c r="D149" s="308">
        <v>2212</v>
      </c>
      <c r="E149" s="349">
        <v>5171</v>
      </c>
      <c r="F149" s="350" t="s">
        <v>203</v>
      </c>
      <c r="G149" s="5">
        <v>0</v>
      </c>
      <c r="H149" s="4">
        <v>2070.224</v>
      </c>
      <c r="I149" s="4"/>
      <c r="J149" s="5">
        <f>H149+I149</f>
        <v>2070.224</v>
      </c>
    </row>
    <row r="150" spans="1:10" ht="12" customHeight="1" hidden="1">
      <c r="A150" s="456"/>
      <c r="B150" s="340" t="s">
        <v>4</v>
      </c>
      <c r="C150" s="312" t="s">
        <v>254</v>
      </c>
      <c r="D150" s="318" t="s">
        <v>2</v>
      </c>
      <c r="E150" s="318" t="s">
        <v>2</v>
      </c>
      <c r="F150" s="319" t="s">
        <v>255</v>
      </c>
      <c r="G150" s="295">
        <f>SUM(G151:G153)</f>
        <v>0</v>
      </c>
      <c r="H150" s="105">
        <f>SUM(H151:H153)</f>
        <v>668.235</v>
      </c>
      <c r="I150" s="295">
        <f>SUM(I151:I153)</f>
        <v>0</v>
      </c>
      <c r="J150" s="295">
        <f>SUM(J151:J153)</f>
        <v>668.235</v>
      </c>
    </row>
    <row r="151" spans="1:10" ht="12" customHeight="1" hidden="1">
      <c r="A151" s="456"/>
      <c r="B151" s="320"/>
      <c r="C151" s="321"/>
      <c r="D151" s="309">
        <v>2212</v>
      </c>
      <c r="E151" s="344">
        <v>5169</v>
      </c>
      <c r="F151" s="272" t="s">
        <v>60</v>
      </c>
      <c r="G151" s="7">
        <v>0</v>
      </c>
      <c r="H151" s="7">
        <v>8.9845</v>
      </c>
      <c r="I151" s="7"/>
      <c r="J151" s="7">
        <f>H151+I151</f>
        <v>8.9845</v>
      </c>
    </row>
    <row r="152" spans="1:10" ht="12" customHeight="1" hidden="1">
      <c r="A152" s="456"/>
      <c r="B152" s="320"/>
      <c r="C152" s="373" t="s">
        <v>200</v>
      </c>
      <c r="D152" s="309">
        <v>2212</v>
      </c>
      <c r="E152" s="344">
        <v>5169</v>
      </c>
      <c r="F152" s="272" t="s">
        <v>60</v>
      </c>
      <c r="G152" s="16">
        <v>0</v>
      </c>
      <c r="H152" s="7">
        <f>50.9105+13.6+20.207</f>
        <v>84.7175</v>
      </c>
      <c r="I152" s="7"/>
      <c r="J152" s="7">
        <f>H152+I152</f>
        <v>84.7175</v>
      </c>
    </row>
    <row r="153" spans="1:10" ht="12" customHeight="1" hidden="1" thickBot="1">
      <c r="A153" s="456"/>
      <c r="B153" s="347"/>
      <c r="C153" s="326"/>
      <c r="D153" s="308">
        <v>2212</v>
      </c>
      <c r="E153" s="349">
        <v>5171</v>
      </c>
      <c r="F153" s="350" t="s">
        <v>203</v>
      </c>
      <c r="G153" s="5">
        <v>0</v>
      </c>
      <c r="H153" s="4">
        <v>574.533</v>
      </c>
      <c r="I153" s="4"/>
      <c r="J153" s="5">
        <f>H153+I153</f>
        <v>574.533</v>
      </c>
    </row>
    <row r="154" spans="1:10" ht="12" customHeight="1" hidden="1">
      <c r="A154" s="456"/>
      <c r="B154" s="340" t="s">
        <v>4</v>
      </c>
      <c r="C154" s="312" t="s">
        <v>256</v>
      </c>
      <c r="D154" s="318" t="s">
        <v>2</v>
      </c>
      <c r="E154" s="318" t="s">
        <v>2</v>
      </c>
      <c r="F154" s="319" t="s">
        <v>257</v>
      </c>
      <c r="G154" s="295">
        <f>SUM(G155:G157)</f>
        <v>0</v>
      </c>
      <c r="H154" s="105">
        <f>SUM(H155:H157)</f>
        <v>914.338</v>
      </c>
      <c r="I154" s="295">
        <f>SUM(I155:I157)</f>
        <v>0</v>
      </c>
      <c r="J154" s="295">
        <f>SUM(J155:J157)</f>
        <v>914.338</v>
      </c>
    </row>
    <row r="155" spans="1:10" ht="12" customHeight="1" hidden="1">
      <c r="A155" s="456"/>
      <c r="B155" s="320"/>
      <c r="C155" s="321"/>
      <c r="D155" s="309">
        <v>2212</v>
      </c>
      <c r="E155" s="344">
        <v>5169</v>
      </c>
      <c r="F155" s="272" t="s">
        <v>60</v>
      </c>
      <c r="G155" s="7">
        <v>0</v>
      </c>
      <c r="H155" s="7">
        <v>11.707</v>
      </c>
      <c r="I155" s="7"/>
      <c r="J155" s="7">
        <f>H155+I155</f>
        <v>11.707</v>
      </c>
    </row>
    <row r="156" spans="1:10" ht="12" customHeight="1" hidden="1">
      <c r="A156" s="456"/>
      <c r="B156" s="320"/>
      <c r="C156" s="352" t="s">
        <v>200</v>
      </c>
      <c r="D156" s="309">
        <v>2212</v>
      </c>
      <c r="E156" s="344">
        <v>5169</v>
      </c>
      <c r="F156" s="272" t="s">
        <v>60</v>
      </c>
      <c r="G156" s="7">
        <v>0</v>
      </c>
      <c r="H156" s="7">
        <f>66.338+11.797+8.47</f>
        <v>86.60499999999999</v>
      </c>
      <c r="I156" s="7"/>
      <c r="J156" s="7">
        <f>H156+I156</f>
        <v>86.60499999999999</v>
      </c>
    </row>
    <row r="157" spans="1:10" ht="12" customHeight="1" hidden="1" thickBot="1">
      <c r="A157" s="456"/>
      <c r="B157" s="320"/>
      <c r="C157" s="321"/>
      <c r="D157" s="309">
        <v>2212</v>
      </c>
      <c r="E157" s="344">
        <v>5171</v>
      </c>
      <c r="F157" s="345" t="s">
        <v>203</v>
      </c>
      <c r="G157" s="7">
        <v>0</v>
      </c>
      <c r="H157" s="4">
        <v>816.026</v>
      </c>
      <c r="I157" s="4"/>
      <c r="J157" s="7">
        <f>H157+I157</f>
        <v>816.026</v>
      </c>
    </row>
    <row r="158" spans="1:10" ht="12" customHeight="1" hidden="1">
      <c r="A158" s="456"/>
      <c r="B158" s="340" t="s">
        <v>4</v>
      </c>
      <c r="C158" s="312" t="s">
        <v>258</v>
      </c>
      <c r="D158" s="318" t="s">
        <v>2</v>
      </c>
      <c r="E158" s="318" t="s">
        <v>2</v>
      </c>
      <c r="F158" s="319" t="s">
        <v>259</v>
      </c>
      <c r="G158" s="295">
        <f>SUM(G159:G161)</f>
        <v>0</v>
      </c>
      <c r="H158" s="105">
        <f>SUM(H159:H161)</f>
        <v>2110.902</v>
      </c>
      <c r="I158" s="295">
        <f>SUM(I159:I161)</f>
        <v>0</v>
      </c>
      <c r="J158" s="295">
        <f>SUM(J159:J161)</f>
        <v>2110.902</v>
      </c>
    </row>
    <row r="159" spans="1:10" ht="12" customHeight="1" hidden="1">
      <c r="A159" s="456"/>
      <c r="B159" s="320"/>
      <c r="C159" s="321"/>
      <c r="D159" s="309">
        <v>2212</v>
      </c>
      <c r="E159" s="344">
        <v>5169</v>
      </c>
      <c r="F159" s="272" t="s">
        <v>60</v>
      </c>
      <c r="G159" s="7">
        <v>0</v>
      </c>
      <c r="H159" s="7">
        <v>11.707</v>
      </c>
      <c r="I159" s="7"/>
      <c r="J159" s="7">
        <f>H159+I159</f>
        <v>11.707</v>
      </c>
    </row>
    <row r="160" spans="1:10" ht="12" customHeight="1" hidden="1">
      <c r="A160" s="456"/>
      <c r="B160" s="320"/>
      <c r="C160" s="352" t="s">
        <v>200</v>
      </c>
      <c r="D160" s="309">
        <v>2212</v>
      </c>
      <c r="E160" s="344">
        <v>5169</v>
      </c>
      <c r="F160" s="272" t="s">
        <v>60</v>
      </c>
      <c r="G160" s="7">
        <v>0</v>
      </c>
      <c r="H160" s="7">
        <f>66.338+11.798+8.47</f>
        <v>86.606</v>
      </c>
      <c r="I160" s="7"/>
      <c r="J160" s="7">
        <f>H160+I160</f>
        <v>86.606</v>
      </c>
    </row>
    <row r="161" spans="1:10" ht="12" customHeight="1" hidden="1" thickBot="1">
      <c r="A161" s="456"/>
      <c r="B161" s="320"/>
      <c r="C161" s="321"/>
      <c r="D161" s="309">
        <v>2212</v>
      </c>
      <c r="E161" s="344">
        <v>5171</v>
      </c>
      <c r="F161" s="345" t="s">
        <v>203</v>
      </c>
      <c r="G161" s="7">
        <v>0</v>
      </c>
      <c r="H161" s="4">
        <v>2012.589</v>
      </c>
      <c r="I161" s="4"/>
      <c r="J161" s="7">
        <f>H161+I161</f>
        <v>2012.589</v>
      </c>
    </row>
    <row r="162" spans="1:10" ht="12" customHeight="1" hidden="1">
      <c r="A162" s="456"/>
      <c r="B162" s="340" t="s">
        <v>4</v>
      </c>
      <c r="C162" s="312" t="s">
        <v>260</v>
      </c>
      <c r="D162" s="318" t="s">
        <v>2</v>
      </c>
      <c r="E162" s="318" t="s">
        <v>2</v>
      </c>
      <c r="F162" s="319" t="s">
        <v>261</v>
      </c>
      <c r="G162" s="295">
        <f>SUM(G163:G165)</f>
        <v>0</v>
      </c>
      <c r="H162" s="105">
        <f>SUM(H163:H165)</f>
        <v>1494.1889999999999</v>
      </c>
      <c r="I162" s="295">
        <f>SUM(I163:I165)</f>
        <v>0</v>
      </c>
      <c r="J162" s="295">
        <f>SUM(J163:J165)</f>
        <v>1494.1889999999999</v>
      </c>
    </row>
    <row r="163" spans="1:10" ht="12" customHeight="1" hidden="1">
      <c r="A163" s="456"/>
      <c r="B163" s="320"/>
      <c r="C163" s="321"/>
      <c r="D163" s="309">
        <v>2212</v>
      </c>
      <c r="E163" s="344">
        <v>5169</v>
      </c>
      <c r="F163" s="272" t="s">
        <v>60</v>
      </c>
      <c r="G163" s="7">
        <v>0</v>
      </c>
      <c r="H163" s="7">
        <v>15.337</v>
      </c>
      <c r="I163" s="7"/>
      <c r="J163" s="7">
        <f>H163+I163</f>
        <v>15.337</v>
      </c>
    </row>
    <row r="164" spans="1:10" ht="12" customHeight="1" hidden="1">
      <c r="A164" s="456"/>
      <c r="B164" s="320"/>
      <c r="C164" s="352" t="s">
        <v>200</v>
      </c>
      <c r="D164" s="309">
        <v>2212</v>
      </c>
      <c r="E164" s="344">
        <v>5169</v>
      </c>
      <c r="F164" s="272" t="s">
        <v>60</v>
      </c>
      <c r="G164" s="7">
        <v>0</v>
      </c>
      <c r="H164" s="7">
        <f>86.908+11.797+8.47</f>
        <v>107.175</v>
      </c>
      <c r="I164" s="7"/>
      <c r="J164" s="7">
        <f>H164+I164</f>
        <v>107.175</v>
      </c>
    </row>
    <row r="165" spans="1:10" ht="12" customHeight="1" hidden="1" thickBot="1">
      <c r="A165" s="456"/>
      <c r="B165" s="320"/>
      <c r="C165" s="321"/>
      <c r="D165" s="309">
        <v>2212</v>
      </c>
      <c r="E165" s="344">
        <v>5171</v>
      </c>
      <c r="F165" s="345" t="s">
        <v>203</v>
      </c>
      <c r="G165" s="7">
        <v>0</v>
      </c>
      <c r="H165" s="4">
        <v>1371.677</v>
      </c>
      <c r="I165" s="4"/>
      <c r="J165" s="7">
        <f>H165+I165</f>
        <v>1371.677</v>
      </c>
    </row>
    <row r="166" spans="1:10" ht="12" customHeight="1" hidden="1">
      <c r="A166" s="456"/>
      <c r="B166" s="340" t="s">
        <v>4</v>
      </c>
      <c r="C166" s="312" t="s">
        <v>262</v>
      </c>
      <c r="D166" s="318" t="s">
        <v>2</v>
      </c>
      <c r="E166" s="318" t="s">
        <v>2</v>
      </c>
      <c r="F166" s="319" t="s">
        <v>263</v>
      </c>
      <c r="G166" s="295">
        <f>SUM(G167:G168)</f>
        <v>0</v>
      </c>
      <c r="H166" s="105">
        <f>SUM(H167:H168)</f>
        <v>65.945</v>
      </c>
      <c r="I166" s="295">
        <f>SUM(I167:I168)</f>
        <v>0</v>
      </c>
      <c r="J166" s="295">
        <f>SUM(J167:J168)</f>
        <v>65.945</v>
      </c>
    </row>
    <row r="167" spans="1:10" ht="12" customHeight="1" hidden="1">
      <c r="A167" s="456"/>
      <c r="B167" s="320"/>
      <c r="C167" s="321"/>
      <c r="D167" s="309">
        <v>2212</v>
      </c>
      <c r="E167" s="344">
        <v>5169</v>
      </c>
      <c r="F167" s="272" t="s">
        <v>60</v>
      </c>
      <c r="G167" s="7">
        <v>0</v>
      </c>
      <c r="H167" s="7">
        <v>9.892</v>
      </c>
      <c r="I167" s="7"/>
      <c r="J167" s="7">
        <f>H167+I167</f>
        <v>9.892</v>
      </c>
    </row>
    <row r="168" spans="1:10" ht="12" customHeight="1" hidden="1" thickBot="1">
      <c r="A168" s="456"/>
      <c r="B168" s="330"/>
      <c r="C168" s="366" t="s">
        <v>200</v>
      </c>
      <c r="D168" s="309">
        <v>2212</v>
      </c>
      <c r="E168" s="344">
        <v>5169</v>
      </c>
      <c r="F168" s="272" t="s">
        <v>60</v>
      </c>
      <c r="G168" s="6">
        <v>0</v>
      </c>
      <c r="H168" s="4">
        <v>56.053</v>
      </c>
      <c r="I168" s="4"/>
      <c r="J168" s="7">
        <f>H168+I168</f>
        <v>56.053</v>
      </c>
    </row>
    <row r="169" spans="1:10" ht="12" customHeight="1" hidden="1">
      <c r="A169" s="456"/>
      <c r="B169" s="340" t="s">
        <v>4</v>
      </c>
      <c r="C169" s="312" t="s">
        <v>264</v>
      </c>
      <c r="D169" s="318" t="s">
        <v>2</v>
      </c>
      <c r="E169" s="318" t="s">
        <v>2</v>
      </c>
      <c r="F169" s="319" t="s">
        <v>265</v>
      </c>
      <c r="G169" s="295">
        <f>SUM(G170:G172)</f>
        <v>0</v>
      </c>
      <c r="H169" s="105">
        <f>SUM(H170:H172)</f>
        <v>353.356</v>
      </c>
      <c r="I169" s="295">
        <f>SUM(I170:I172)</f>
        <v>0</v>
      </c>
      <c r="J169" s="295">
        <f>SUM(J170:J172)</f>
        <v>353.356</v>
      </c>
    </row>
    <row r="170" spans="1:10" ht="12" customHeight="1" hidden="1">
      <c r="A170" s="456"/>
      <c r="B170" s="320"/>
      <c r="C170" s="321"/>
      <c r="D170" s="309">
        <v>2212</v>
      </c>
      <c r="E170" s="344">
        <v>5169</v>
      </c>
      <c r="F170" s="272" t="s">
        <v>60</v>
      </c>
      <c r="G170" s="7">
        <v>0</v>
      </c>
      <c r="H170" s="7">
        <v>9.892</v>
      </c>
      <c r="I170" s="7"/>
      <c r="J170" s="7">
        <f>H170+I170</f>
        <v>9.892</v>
      </c>
    </row>
    <row r="171" spans="1:10" ht="12" customHeight="1" hidden="1">
      <c r="A171" s="456"/>
      <c r="B171" s="320"/>
      <c r="C171" s="373" t="s">
        <v>200</v>
      </c>
      <c r="D171" s="309">
        <v>2212</v>
      </c>
      <c r="E171" s="344">
        <v>5169</v>
      </c>
      <c r="F171" s="272" t="s">
        <v>60</v>
      </c>
      <c r="G171" s="16">
        <v>0</v>
      </c>
      <c r="H171" s="7">
        <f>56.053+16.637+5.107</f>
        <v>77.797</v>
      </c>
      <c r="I171" s="7"/>
      <c r="J171" s="7">
        <f>H171+I171</f>
        <v>77.797</v>
      </c>
    </row>
    <row r="172" spans="1:10" ht="12" customHeight="1" hidden="1" thickBot="1">
      <c r="A172" s="456"/>
      <c r="B172" s="320"/>
      <c r="C172" s="321"/>
      <c r="D172" s="309">
        <v>2212</v>
      </c>
      <c r="E172" s="344">
        <v>5171</v>
      </c>
      <c r="F172" s="345" t="s">
        <v>203</v>
      </c>
      <c r="G172" s="7">
        <v>0</v>
      </c>
      <c r="H172" s="4">
        <f>265.909-0.242</f>
        <v>265.667</v>
      </c>
      <c r="I172" s="4"/>
      <c r="J172" s="7">
        <f>H172+I172</f>
        <v>265.667</v>
      </c>
    </row>
    <row r="173" spans="1:10" ht="12" customHeight="1" hidden="1">
      <c r="A173" s="456"/>
      <c r="B173" s="340" t="s">
        <v>4</v>
      </c>
      <c r="C173" s="312" t="s">
        <v>266</v>
      </c>
      <c r="D173" s="318" t="s">
        <v>2</v>
      </c>
      <c r="E173" s="318" t="s">
        <v>2</v>
      </c>
      <c r="F173" s="319" t="s">
        <v>267</v>
      </c>
      <c r="G173" s="295">
        <f>SUM(G174:G176)</f>
        <v>0</v>
      </c>
      <c r="H173" s="105">
        <f>SUM(H174:H176)</f>
        <v>1907.641</v>
      </c>
      <c r="I173" s="295">
        <f>SUM(I174:I176)</f>
        <v>0</v>
      </c>
      <c r="J173" s="295">
        <f>SUM(J174:J176)</f>
        <v>1907.641</v>
      </c>
    </row>
    <row r="174" spans="1:10" ht="12" customHeight="1" hidden="1">
      <c r="A174" s="456"/>
      <c r="B174" s="320"/>
      <c r="C174" s="321"/>
      <c r="D174" s="309">
        <v>2212</v>
      </c>
      <c r="E174" s="344">
        <v>5169</v>
      </c>
      <c r="F174" s="272" t="s">
        <v>60</v>
      </c>
      <c r="G174" s="7">
        <v>0</v>
      </c>
      <c r="H174" s="7">
        <v>8.9845</v>
      </c>
      <c r="I174" s="7"/>
      <c r="J174" s="7">
        <f>H174+I174</f>
        <v>8.9845</v>
      </c>
    </row>
    <row r="175" spans="1:10" ht="12" customHeight="1" hidden="1">
      <c r="A175" s="456"/>
      <c r="B175" s="320"/>
      <c r="C175" s="373" t="s">
        <v>200</v>
      </c>
      <c r="D175" s="309">
        <v>2212</v>
      </c>
      <c r="E175" s="344">
        <v>5169</v>
      </c>
      <c r="F175" s="272" t="s">
        <v>60</v>
      </c>
      <c r="G175" s="16">
        <v>0</v>
      </c>
      <c r="H175" s="7">
        <f>50.9105+16.638+5.108</f>
        <v>72.65650000000001</v>
      </c>
      <c r="I175" s="7"/>
      <c r="J175" s="7">
        <f>H175+I175</f>
        <v>72.65650000000001</v>
      </c>
    </row>
    <row r="176" spans="1:10" ht="12" customHeight="1" hidden="1" thickBot="1">
      <c r="A176" s="456"/>
      <c r="B176" s="320"/>
      <c r="C176" s="321"/>
      <c r="D176" s="309">
        <v>2212</v>
      </c>
      <c r="E176" s="344">
        <v>5171</v>
      </c>
      <c r="F176" s="345" t="s">
        <v>203</v>
      </c>
      <c r="G176" s="7">
        <v>0</v>
      </c>
      <c r="H176" s="4">
        <f>1883.224-57.224</f>
        <v>1826</v>
      </c>
      <c r="I176" s="4"/>
      <c r="J176" s="7">
        <f>H176+I176</f>
        <v>1826</v>
      </c>
    </row>
    <row r="177" spans="1:10" ht="12" customHeight="1" hidden="1">
      <c r="A177" s="456"/>
      <c r="B177" s="340" t="s">
        <v>4</v>
      </c>
      <c r="C177" s="312" t="s">
        <v>268</v>
      </c>
      <c r="D177" s="318" t="s">
        <v>2</v>
      </c>
      <c r="E177" s="318" t="s">
        <v>2</v>
      </c>
      <c r="F177" s="319" t="s">
        <v>269</v>
      </c>
      <c r="G177" s="295">
        <f>SUM(G178:G180)</f>
        <v>0</v>
      </c>
      <c r="H177" s="105">
        <f>SUM(H178:H180)</f>
        <v>574.336</v>
      </c>
      <c r="I177" s="295">
        <f>SUM(I178:I180)</f>
        <v>0</v>
      </c>
      <c r="J177" s="295">
        <f>SUM(J178:J180)</f>
        <v>574.336</v>
      </c>
    </row>
    <row r="178" spans="1:10" ht="12" customHeight="1" hidden="1">
      <c r="A178" s="456"/>
      <c r="B178" s="320"/>
      <c r="C178" s="321"/>
      <c r="D178" s="309">
        <v>2212</v>
      </c>
      <c r="E178" s="344">
        <v>5169</v>
      </c>
      <c r="F178" s="272" t="s">
        <v>60</v>
      </c>
      <c r="G178" s="7">
        <v>0</v>
      </c>
      <c r="H178" s="7">
        <v>8.9845</v>
      </c>
      <c r="I178" s="7"/>
      <c r="J178" s="7">
        <f>H178+I178</f>
        <v>8.9845</v>
      </c>
    </row>
    <row r="179" spans="1:10" ht="12" customHeight="1" hidden="1">
      <c r="A179" s="456"/>
      <c r="B179" s="320"/>
      <c r="C179" s="352" t="s">
        <v>200</v>
      </c>
      <c r="D179" s="309">
        <v>2212</v>
      </c>
      <c r="E179" s="344">
        <v>5169</v>
      </c>
      <c r="F179" s="272" t="s">
        <v>60</v>
      </c>
      <c r="G179" s="7">
        <v>0</v>
      </c>
      <c r="H179" s="7">
        <f>50.9105+16.638+5.108</f>
        <v>72.65650000000001</v>
      </c>
      <c r="I179" s="7"/>
      <c r="J179" s="7">
        <f>H179+I179</f>
        <v>72.65650000000001</v>
      </c>
    </row>
    <row r="180" spans="1:10" ht="12" customHeight="1" hidden="1" thickBot="1">
      <c r="A180" s="456"/>
      <c r="B180" s="320"/>
      <c r="C180" s="321"/>
      <c r="D180" s="309">
        <v>2212</v>
      </c>
      <c r="E180" s="344">
        <v>5171</v>
      </c>
      <c r="F180" s="345" t="s">
        <v>203</v>
      </c>
      <c r="G180" s="7">
        <v>0</v>
      </c>
      <c r="H180" s="4">
        <f>516.653-23.958</f>
        <v>492.69500000000005</v>
      </c>
      <c r="I180" s="4"/>
      <c r="J180" s="7">
        <f>H180+I180</f>
        <v>492.69500000000005</v>
      </c>
    </row>
    <row r="181" spans="1:10" ht="12" customHeight="1" hidden="1">
      <c r="A181" s="456"/>
      <c r="B181" s="340" t="s">
        <v>4</v>
      </c>
      <c r="C181" s="312" t="s">
        <v>270</v>
      </c>
      <c r="D181" s="318" t="s">
        <v>2</v>
      </c>
      <c r="E181" s="318" t="s">
        <v>2</v>
      </c>
      <c r="F181" s="319" t="s">
        <v>271</v>
      </c>
      <c r="G181" s="295">
        <f>SUM(G182:G184)</f>
        <v>0</v>
      </c>
      <c r="H181" s="105">
        <f>SUM(H182:H184)</f>
        <v>268.187</v>
      </c>
      <c r="I181" s="295">
        <f>SUM(I182:I184)</f>
        <v>0</v>
      </c>
      <c r="J181" s="295">
        <f>SUM(J182:J184)</f>
        <v>268.187</v>
      </c>
    </row>
    <row r="182" spans="1:10" ht="12" customHeight="1" hidden="1">
      <c r="A182" s="456"/>
      <c r="B182" s="320"/>
      <c r="C182" s="321"/>
      <c r="D182" s="309">
        <v>2212</v>
      </c>
      <c r="E182" s="344">
        <v>5169</v>
      </c>
      <c r="F182" s="272" t="s">
        <v>60</v>
      </c>
      <c r="G182" s="7">
        <v>0</v>
      </c>
      <c r="H182" s="7">
        <v>9.892</v>
      </c>
      <c r="I182" s="7"/>
      <c r="J182" s="7">
        <f>H182+I182</f>
        <v>9.892</v>
      </c>
    </row>
    <row r="183" spans="1:10" ht="12" customHeight="1" hidden="1">
      <c r="A183" s="456"/>
      <c r="B183" s="320"/>
      <c r="C183" s="373" t="s">
        <v>200</v>
      </c>
      <c r="D183" s="309">
        <v>2212</v>
      </c>
      <c r="E183" s="344">
        <v>5169</v>
      </c>
      <c r="F183" s="272" t="s">
        <v>60</v>
      </c>
      <c r="G183" s="16">
        <v>0</v>
      </c>
      <c r="H183" s="7">
        <f>56.053+16.637+5.107</f>
        <v>77.797</v>
      </c>
      <c r="I183" s="7"/>
      <c r="J183" s="7">
        <f>H183+I183</f>
        <v>77.797</v>
      </c>
    </row>
    <row r="184" spans="1:10" ht="12" customHeight="1" hidden="1" thickBot="1">
      <c r="A184" s="456"/>
      <c r="B184" s="320"/>
      <c r="C184" s="321"/>
      <c r="D184" s="309">
        <v>2212</v>
      </c>
      <c r="E184" s="344">
        <v>5171</v>
      </c>
      <c r="F184" s="345" t="s">
        <v>203</v>
      </c>
      <c r="G184" s="7">
        <v>0</v>
      </c>
      <c r="H184" s="106">
        <f>180.74-0.242</f>
        <v>180.49800000000002</v>
      </c>
      <c r="I184" s="4"/>
      <c r="J184" s="7">
        <f>H184+I184</f>
        <v>180.49800000000002</v>
      </c>
    </row>
    <row r="185" spans="1:10" ht="12" customHeight="1" hidden="1">
      <c r="A185" s="456"/>
      <c r="B185" s="340" t="s">
        <v>4</v>
      </c>
      <c r="C185" s="312" t="s">
        <v>272</v>
      </c>
      <c r="D185" s="318" t="s">
        <v>2</v>
      </c>
      <c r="E185" s="318" t="s">
        <v>2</v>
      </c>
      <c r="F185" s="319" t="s">
        <v>273</v>
      </c>
      <c r="G185" s="295">
        <f>SUM(G186:G188)</f>
        <v>0</v>
      </c>
      <c r="H185" s="105">
        <f>SUM(H186:H188)</f>
        <v>768.691</v>
      </c>
      <c r="I185" s="295">
        <f>SUM(I186:I188)</f>
        <v>0</v>
      </c>
      <c r="J185" s="295">
        <f>SUM(J186:J188)</f>
        <v>768.691</v>
      </c>
    </row>
    <row r="186" spans="1:10" ht="12" customHeight="1" hidden="1">
      <c r="A186" s="456"/>
      <c r="B186" s="320"/>
      <c r="C186" s="321"/>
      <c r="D186" s="309">
        <v>2212</v>
      </c>
      <c r="E186" s="344">
        <v>5169</v>
      </c>
      <c r="F186" s="272" t="s">
        <v>60</v>
      </c>
      <c r="G186" s="7">
        <v>0</v>
      </c>
      <c r="H186" s="7">
        <v>8.9845</v>
      </c>
      <c r="I186" s="7"/>
      <c r="J186" s="7">
        <f>H186+I186</f>
        <v>8.9845</v>
      </c>
    </row>
    <row r="187" spans="1:10" ht="12" customHeight="1" hidden="1">
      <c r="A187" s="456"/>
      <c r="B187" s="320"/>
      <c r="C187" s="352" t="s">
        <v>200</v>
      </c>
      <c r="D187" s="309">
        <v>2212</v>
      </c>
      <c r="E187" s="344">
        <v>5169</v>
      </c>
      <c r="F187" s="272" t="s">
        <v>60</v>
      </c>
      <c r="G187" s="7">
        <v>0</v>
      </c>
      <c r="H187" s="7">
        <f>50.9105+15.73+16.94</f>
        <v>83.5805</v>
      </c>
      <c r="I187" s="7"/>
      <c r="J187" s="7">
        <f>H187+I187</f>
        <v>83.5805</v>
      </c>
    </row>
    <row r="188" spans="1:10" ht="12" customHeight="1" hidden="1" thickBot="1">
      <c r="A188" s="456"/>
      <c r="B188" s="347"/>
      <c r="C188" s="348" t="s">
        <v>200</v>
      </c>
      <c r="D188" s="308">
        <v>2212</v>
      </c>
      <c r="E188" s="349">
        <v>5171</v>
      </c>
      <c r="F188" s="350" t="s">
        <v>203</v>
      </c>
      <c r="G188" s="5">
        <v>0</v>
      </c>
      <c r="H188" s="4">
        <v>676.126</v>
      </c>
      <c r="I188" s="4"/>
      <c r="J188" s="5">
        <f>H188+I188</f>
        <v>676.126</v>
      </c>
    </row>
    <row r="189" spans="1:10" ht="12" customHeight="1" hidden="1">
      <c r="A189" s="456"/>
      <c r="B189" s="340" t="s">
        <v>4</v>
      </c>
      <c r="C189" s="312" t="s">
        <v>274</v>
      </c>
      <c r="D189" s="318" t="s">
        <v>2</v>
      </c>
      <c r="E189" s="318" t="s">
        <v>2</v>
      </c>
      <c r="F189" s="319" t="s">
        <v>275</v>
      </c>
      <c r="G189" s="295">
        <f>SUM(G190:G192)</f>
        <v>0</v>
      </c>
      <c r="H189" s="105">
        <f>SUM(H190:H192)</f>
        <v>1076.7060000000001</v>
      </c>
      <c r="I189" s="295">
        <f>SUM(I190:I192)</f>
        <v>0</v>
      </c>
      <c r="J189" s="295">
        <f>SUM(J190:J192)</f>
        <v>1076.7060000000001</v>
      </c>
    </row>
    <row r="190" spans="1:10" ht="12" customHeight="1" hidden="1">
      <c r="A190" s="456"/>
      <c r="B190" s="320"/>
      <c r="C190" s="321"/>
      <c r="D190" s="309">
        <v>2212</v>
      </c>
      <c r="E190" s="344">
        <v>5169</v>
      </c>
      <c r="F190" s="272" t="s">
        <v>60</v>
      </c>
      <c r="G190" s="7">
        <v>0</v>
      </c>
      <c r="H190" s="7">
        <v>8.9845</v>
      </c>
      <c r="I190" s="7"/>
      <c r="J190" s="7">
        <f>H190+I190</f>
        <v>8.9845</v>
      </c>
    </row>
    <row r="191" spans="1:10" ht="12" customHeight="1" hidden="1">
      <c r="A191" s="456"/>
      <c r="B191" s="320"/>
      <c r="C191" s="352" t="s">
        <v>200</v>
      </c>
      <c r="D191" s="309">
        <v>2212</v>
      </c>
      <c r="E191" s="344">
        <v>5169</v>
      </c>
      <c r="F191" s="272" t="s">
        <v>60</v>
      </c>
      <c r="G191" s="7">
        <v>0</v>
      </c>
      <c r="H191" s="7">
        <f>50.9105+36.905+12.1</f>
        <v>99.9155</v>
      </c>
      <c r="I191" s="7"/>
      <c r="J191" s="7">
        <f>H191+I191</f>
        <v>99.9155</v>
      </c>
    </row>
    <row r="192" spans="1:10" ht="12" customHeight="1" hidden="1" thickBot="1">
      <c r="A192" s="456"/>
      <c r="B192" s="347"/>
      <c r="C192" s="348" t="s">
        <v>200</v>
      </c>
      <c r="D192" s="299">
        <v>2212</v>
      </c>
      <c r="E192" s="361">
        <v>5171</v>
      </c>
      <c r="F192" s="314" t="s">
        <v>203</v>
      </c>
      <c r="G192" s="5">
        <v>0</v>
      </c>
      <c r="H192" s="4">
        <v>967.806</v>
      </c>
      <c r="I192" s="4"/>
      <c r="J192" s="4">
        <f>H192+I192</f>
        <v>967.806</v>
      </c>
    </row>
    <row r="193" spans="1:10" ht="12" customHeight="1" hidden="1">
      <c r="A193" s="456"/>
      <c r="B193" s="340" t="s">
        <v>4</v>
      </c>
      <c r="C193" s="312" t="s">
        <v>276</v>
      </c>
      <c r="D193" s="318" t="s">
        <v>2</v>
      </c>
      <c r="E193" s="318" t="s">
        <v>2</v>
      </c>
      <c r="F193" s="319" t="s">
        <v>277</v>
      </c>
      <c r="G193" s="295">
        <f>SUM(G194:G196)</f>
        <v>0</v>
      </c>
      <c r="H193" s="105">
        <f>SUM(H194:H196)</f>
        <v>329.06850000000003</v>
      </c>
      <c r="I193" s="295">
        <f>SUM(I194:I196)</f>
        <v>0</v>
      </c>
      <c r="J193" s="295">
        <f>SUM(J194:J196)</f>
        <v>329.06850000000003</v>
      </c>
    </row>
    <row r="194" spans="1:10" ht="12" customHeight="1" hidden="1">
      <c r="A194" s="456"/>
      <c r="B194" s="320"/>
      <c r="C194" s="321"/>
      <c r="D194" s="309">
        <v>2212</v>
      </c>
      <c r="E194" s="344">
        <v>5169</v>
      </c>
      <c r="F194" s="272" t="s">
        <v>60</v>
      </c>
      <c r="G194" s="7">
        <v>0</v>
      </c>
      <c r="H194" s="107">
        <v>4.22</v>
      </c>
      <c r="I194" s="7"/>
      <c r="J194" s="7">
        <f>H194+I194</f>
        <v>4.22</v>
      </c>
    </row>
    <row r="195" spans="1:10" ht="12" customHeight="1" hidden="1">
      <c r="A195" s="456"/>
      <c r="B195" s="320"/>
      <c r="C195" s="373" t="s">
        <v>200</v>
      </c>
      <c r="D195" s="309">
        <v>2212</v>
      </c>
      <c r="E195" s="344">
        <v>5169</v>
      </c>
      <c r="F195" s="272" t="s">
        <v>60</v>
      </c>
      <c r="G195" s="16">
        <v>0</v>
      </c>
      <c r="H195" s="7">
        <f>23.9125+12.281+10.122</f>
        <v>46.3155</v>
      </c>
      <c r="I195" s="7"/>
      <c r="J195" s="7">
        <f>H195+I195</f>
        <v>46.3155</v>
      </c>
    </row>
    <row r="196" spans="1:10" ht="12" customHeight="1" hidden="1" thickBot="1">
      <c r="A196" s="456"/>
      <c r="B196" s="359"/>
      <c r="C196" s="360" t="s">
        <v>200</v>
      </c>
      <c r="D196" s="299">
        <v>2212</v>
      </c>
      <c r="E196" s="361">
        <v>5171</v>
      </c>
      <c r="F196" s="314" t="s">
        <v>203</v>
      </c>
      <c r="G196" s="4">
        <v>0</v>
      </c>
      <c r="H196" s="4">
        <v>278.533</v>
      </c>
      <c r="I196" s="4"/>
      <c r="J196" s="4">
        <f>H196+I196</f>
        <v>278.533</v>
      </c>
    </row>
    <row r="197" spans="1:10" ht="12" customHeight="1" hidden="1">
      <c r="A197" s="456"/>
      <c r="B197" s="340" t="s">
        <v>4</v>
      </c>
      <c r="C197" s="312" t="s">
        <v>278</v>
      </c>
      <c r="D197" s="318" t="s">
        <v>2</v>
      </c>
      <c r="E197" s="318" t="s">
        <v>2</v>
      </c>
      <c r="F197" s="319" t="s">
        <v>279</v>
      </c>
      <c r="G197" s="295">
        <f>SUM(G198:G200)</f>
        <v>0</v>
      </c>
      <c r="H197" s="105">
        <f>SUM(H198:H200)</f>
        <v>358.3155</v>
      </c>
      <c r="I197" s="295">
        <f>SUM(I198:I200)</f>
        <v>0</v>
      </c>
      <c r="J197" s="295">
        <f>SUM(J198:J200)</f>
        <v>358.3155</v>
      </c>
    </row>
    <row r="198" spans="1:10" ht="12" customHeight="1" hidden="1">
      <c r="A198" s="456"/>
      <c r="B198" s="320"/>
      <c r="C198" s="321"/>
      <c r="D198" s="309">
        <v>2212</v>
      </c>
      <c r="E198" s="344">
        <v>5169</v>
      </c>
      <c r="F198" s="272" t="s">
        <v>60</v>
      </c>
      <c r="G198" s="7">
        <v>0</v>
      </c>
      <c r="H198" s="107">
        <v>4.22</v>
      </c>
      <c r="I198" s="7"/>
      <c r="J198" s="7">
        <f>H198+I198</f>
        <v>4.22</v>
      </c>
    </row>
    <row r="199" spans="1:10" ht="12" customHeight="1" hidden="1">
      <c r="A199" s="456"/>
      <c r="B199" s="320"/>
      <c r="C199" s="352" t="s">
        <v>200</v>
      </c>
      <c r="D199" s="309">
        <v>2212</v>
      </c>
      <c r="E199" s="344">
        <v>5169</v>
      </c>
      <c r="F199" s="272" t="s">
        <v>60</v>
      </c>
      <c r="G199" s="7">
        <v>0</v>
      </c>
      <c r="H199" s="7">
        <f>23.9125+12.282+10.122</f>
        <v>46.316500000000005</v>
      </c>
      <c r="I199" s="7"/>
      <c r="J199" s="7">
        <f>H199+I199</f>
        <v>46.316500000000005</v>
      </c>
    </row>
    <row r="200" spans="1:10" ht="12" customHeight="1" hidden="1" thickBot="1">
      <c r="A200" s="456"/>
      <c r="B200" s="347"/>
      <c r="C200" s="348" t="s">
        <v>200</v>
      </c>
      <c r="D200" s="308">
        <v>2212</v>
      </c>
      <c r="E200" s="349">
        <v>5171</v>
      </c>
      <c r="F200" s="350" t="s">
        <v>203</v>
      </c>
      <c r="G200" s="5">
        <v>0</v>
      </c>
      <c r="H200" s="4">
        <v>307.779</v>
      </c>
      <c r="I200" s="4"/>
      <c r="J200" s="5">
        <f>H200+I200</f>
        <v>307.779</v>
      </c>
    </row>
    <row r="201" spans="1:10" ht="12" customHeight="1" hidden="1">
      <c r="A201" s="456"/>
      <c r="B201" s="340" t="s">
        <v>4</v>
      </c>
      <c r="C201" s="312" t="s">
        <v>280</v>
      </c>
      <c r="D201" s="318" t="s">
        <v>2</v>
      </c>
      <c r="E201" s="318" t="s">
        <v>2</v>
      </c>
      <c r="F201" s="319" t="s">
        <v>281</v>
      </c>
      <c r="G201" s="295">
        <f>SUM(G202:G204)</f>
        <v>0</v>
      </c>
      <c r="H201" s="105">
        <f>SUM(H202:H204)</f>
        <v>657.1355</v>
      </c>
      <c r="I201" s="295">
        <f>SUM(I202:I204)</f>
        <v>0</v>
      </c>
      <c r="J201" s="295">
        <f>SUM(J202:J204)</f>
        <v>657.1355</v>
      </c>
    </row>
    <row r="202" spans="1:10" ht="12" customHeight="1" hidden="1">
      <c r="A202" s="456"/>
      <c r="B202" s="320"/>
      <c r="C202" s="321"/>
      <c r="D202" s="309">
        <v>2212</v>
      </c>
      <c r="E202" s="344">
        <v>5169</v>
      </c>
      <c r="F202" s="272" t="s">
        <v>60</v>
      </c>
      <c r="G202" s="7">
        <v>0</v>
      </c>
      <c r="H202" s="107">
        <v>4.22</v>
      </c>
      <c r="I202" s="7"/>
      <c r="J202" s="7">
        <f>H202+I202</f>
        <v>4.22</v>
      </c>
    </row>
    <row r="203" spans="1:10" ht="12" customHeight="1" hidden="1">
      <c r="A203" s="456"/>
      <c r="B203" s="371"/>
      <c r="C203" s="352" t="s">
        <v>200</v>
      </c>
      <c r="D203" s="309">
        <v>2212</v>
      </c>
      <c r="E203" s="344">
        <v>5169</v>
      </c>
      <c r="F203" s="272" t="s">
        <v>60</v>
      </c>
      <c r="G203" s="7">
        <v>0</v>
      </c>
      <c r="H203" s="7">
        <f>23.9125+19.602+13.915</f>
        <v>57.4295</v>
      </c>
      <c r="I203" s="7"/>
      <c r="J203" s="7">
        <f>H203+I203</f>
        <v>57.4295</v>
      </c>
    </row>
    <row r="204" spans="1:10" ht="12" customHeight="1" hidden="1" thickBot="1">
      <c r="A204" s="456"/>
      <c r="B204" s="374"/>
      <c r="C204" s="348" t="s">
        <v>200</v>
      </c>
      <c r="D204" s="308">
        <v>2212</v>
      </c>
      <c r="E204" s="349">
        <v>5171</v>
      </c>
      <c r="F204" s="350" t="s">
        <v>203</v>
      </c>
      <c r="G204" s="5">
        <v>0</v>
      </c>
      <c r="H204" s="4">
        <v>595.486</v>
      </c>
      <c r="I204" s="4"/>
      <c r="J204" s="5">
        <f>H204+I204</f>
        <v>595.486</v>
      </c>
    </row>
    <row r="205" spans="1:10" ht="12" customHeight="1" hidden="1">
      <c r="A205" s="456"/>
      <c r="B205" s="340" t="s">
        <v>4</v>
      </c>
      <c r="C205" s="312" t="s">
        <v>282</v>
      </c>
      <c r="D205" s="318" t="s">
        <v>2</v>
      </c>
      <c r="E205" s="318" t="s">
        <v>2</v>
      </c>
      <c r="F205" s="319" t="s">
        <v>283</v>
      </c>
      <c r="G205" s="295">
        <f>SUM(G206:G208)</f>
        <v>0</v>
      </c>
      <c r="H205" s="105">
        <f>SUM(H206:H208)</f>
        <v>3586.5415000000003</v>
      </c>
      <c r="I205" s="295">
        <f>SUM(I206:I208)</f>
        <v>0</v>
      </c>
      <c r="J205" s="295">
        <f>SUM(J206:J208)</f>
        <v>3586.5415000000003</v>
      </c>
    </row>
    <row r="206" spans="1:10" ht="12" customHeight="1" hidden="1">
      <c r="A206" s="456"/>
      <c r="B206" s="320"/>
      <c r="C206" s="321"/>
      <c r="D206" s="309">
        <v>2212</v>
      </c>
      <c r="E206" s="344">
        <v>5169</v>
      </c>
      <c r="F206" s="272" t="s">
        <v>60</v>
      </c>
      <c r="G206" s="7">
        <v>0</v>
      </c>
      <c r="H206" s="7">
        <v>5.1275</v>
      </c>
      <c r="I206" s="7"/>
      <c r="J206" s="7">
        <f>H206+I206</f>
        <v>5.1275</v>
      </c>
    </row>
    <row r="207" spans="1:10" ht="12" customHeight="1" hidden="1">
      <c r="A207" s="456"/>
      <c r="B207" s="320"/>
      <c r="C207" s="352" t="s">
        <v>200</v>
      </c>
      <c r="D207" s="309">
        <v>2212</v>
      </c>
      <c r="E207" s="344">
        <v>5169</v>
      </c>
      <c r="F207" s="272" t="s">
        <v>60</v>
      </c>
      <c r="G207" s="7">
        <v>0</v>
      </c>
      <c r="H207" s="7">
        <f>29.055+59.29+41.14</f>
        <v>129.485</v>
      </c>
      <c r="I207" s="7"/>
      <c r="J207" s="7">
        <f>H207+I207</f>
        <v>129.485</v>
      </c>
    </row>
    <row r="208" spans="1:10" ht="12" customHeight="1" hidden="1" thickBot="1">
      <c r="A208" s="456"/>
      <c r="B208" s="359"/>
      <c r="C208" s="360" t="s">
        <v>200</v>
      </c>
      <c r="D208" s="299">
        <v>2212</v>
      </c>
      <c r="E208" s="361">
        <v>5171</v>
      </c>
      <c r="F208" s="314" t="s">
        <v>203</v>
      </c>
      <c r="G208" s="4">
        <v>0</v>
      </c>
      <c r="H208" s="4">
        <v>3451.929</v>
      </c>
      <c r="I208" s="4"/>
      <c r="J208" s="4">
        <f>H208+I208</f>
        <v>3451.929</v>
      </c>
    </row>
    <row r="209" spans="1:10" ht="12" customHeight="1" hidden="1">
      <c r="A209" s="456"/>
      <c r="B209" s="340" t="s">
        <v>4</v>
      </c>
      <c r="C209" s="312" t="s">
        <v>284</v>
      </c>
      <c r="D209" s="318" t="s">
        <v>2</v>
      </c>
      <c r="E209" s="318" t="s">
        <v>2</v>
      </c>
      <c r="F209" s="319" t="s">
        <v>285</v>
      </c>
      <c r="G209" s="295">
        <f>SUM(G210:G212)</f>
        <v>0</v>
      </c>
      <c r="H209" s="105">
        <f>SUM(H210:H212)</f>
        <v>1397.9925</v>
      </c>
      <c r="I209" s="295">
        <f>SUM(I210:I212)</f>
        <v>0</v>
      </c>
      <c r="J209" s="295">
        <f>SUM(J210:J212)</f>
        <v>1397.9925</v>
      </c>
    </row>
    <row r="210" spans="1:10" ht="12" customHeight="1" hidden="1">
      <c r="A210" s="456"/>
      <c r="B210" s="320"/>
      <c r="C210" s="321"/>
      <c r="D210" s="309">
        <v>2212</v>
      </c>
      <c r="E210" s="344">
        <v>5169</v>
      </c>
      <c r="F210" s="272" t="s">
        <v>60</v>
      </c>
      <c r="G210" s="7">
        <v>0</v>
      </c>
      <c r="H210" s="107">
        <v>4.22</v>
      </c>
      <c r="I210" s="7"/>
      <c r="J210" s="7">
        <f>H210+I210</f>
        <v>4.22</v>
      </c>
    </row>
    <row r="211" spans="1:10" ht="12" customHeight="1" hidden="1">
      <c r="A211" s="456"/>
      <c r="B211" s="320"/>
      <c r="C211" s="352" t="s">
        <v>200</v>
      </c>
      <c r="D211" s="309">
        <v>2212</v>
      </c>
      <c r="E211" s="344">
        <v>5169</v>
      </c>
      <c r="F211" s="272" t="s">
        <v>60</v>
      </c>
      <c r="G211" s="7">
        <v>0</v>
      </c>
      <c r="H211" s="7">
        <f>23.9125+19.602+13.915</f>
        <v>57.4295</v>
      </c>
      <c r="I211" s="7"/>
      <c r="J211" s="7">
        <f>H211+I211</f>
        <v>57.4295</v>
      </c>
    </row>
    <row r="212" spans="1:10" ht="12" customHeight="1" hidden="1" thickBot="1">
      <c r="A212" s="456"/>
      <c r="B212" s="347"/>
      <c r="C212" s="348" t="s">
        <v>200</v>
      </c>
      <c r="D212" s="308">
        <v>2212</v>
      </c>
      <c r="E212" s="349">
        <v>5171</v>
      </c>
      <c r="F212" s="350" t="s">
        <v>203</v>
      </c>
      <c r="G212" s="5">
        <v>0</v>
      </c>
      <c r="H212" s="4">
        <v>1336.343</v>
      </c>
      <c r="I212" s="4"/>
      <c r="J212" s="5">
        <f>H212+I212</f>
        <v>1336.343</v>
      </c>
    </row>
    <row r="213" spans="1:10" ht="12" customHeight="1" hidden="1">
      <c r="A213" s="456"/>
      <c r="B213" s="340" t="s">
        <v>4</v>
      </c>
      <c r="C213" s="312" t="s">
        <v>286</v>
      </c>
      <c r="D213" s="318" t="s">
        <v>2</v>
      </c>
      <c r="E213" s="318" t="s">
        <v>2</v>
      </c>
      <c r="F213" s="319" t="s">
        <v>287</v>
      </c>
      <c r="G213" s="295">
        <f>SUM(G214:G216)</f>
        <v>0</v>
      </c>
      <c r="H213" s="105">
        <f>SUM(H214:H216)</f>
        <v>2277.9485</v>
      </c>
      <c r="I213" s="295">
        <f>SUM(I214:I216)</f>
        <v>0</v>
      </c>
      <c r="J213" s="295">
        <f>SUM(J214:J216)</f>
        <v>2277.9485</v>
      </c>
    </row>
    <row r="214" spans="1:10" ht="12" customHeight="1" hidden="1">
      <c r="A214" s="456"/>
      <c r="B214" s="320"/>
      <c r="C214" s="321"/>
      <c r="D214" s="309">
        <v>2212</v>
      </c>
      <c r="E214" s="344">
        <v>5169</v>
      </c>
      <c r="F214" s="272" t="s">
        <v>60</v>
      </c>
      <c r="G214" s="7">
        <v>0</v>
      </c>
      <c r="H214" s="107">
        <v>4.22</v>
      </c>
      <c r="I214" s="7"/>
      <c r="J214" s="7">
        <f>H214+I214</f>
        <v>4.22</v>
      </c>
    </row>
    <row r="215" spans="1:10" ht="12" customHeight="1" hidden="1">
      <c r="A215" s="456"/>
      <c r="B215" s="320"/>
      <c r="C215" s="352" t="s">
        <v>200</v>
      </c>
      <c r="D215" s="309">
        <v>2212</v>
      </c>
      <c r="E215" s="344">
        <v>5169</v>
      </c>
      <c r="F215" s="272" t="s">
        <v>60</v>
      </c>
      <c r="G215" s="7">
        <v>0</v>
      </c>
      <c r="H215" s="7">
        <f>23.9125+19.602+13.915</f>
        <v>57.4295</v>
      </c>
      <c r="I215" s="7"/>
      <c r="J215" s="7">
        <f>H215+I215</f>
        <v>57.4295</v>
      </c>
    </row>
    <row r="216" spans="1:10" ht="12" customHeight="1" hidden="1" thickBot="1">
      <c r="A216" s="456"/>
      <c r="B216" s="347"/>
      <c r="C216" s="348" t="s">
        <v>200</v>
      </c>
      <c r="D216" s="308">
        <v>2212</v>
      </c>
      <c r="E216" s="349">
        <v>5171</v>
      </c>
      <c r="F216" s="350" t="s">
        <v>203</v>
      </c>
      <c r="G216" s="5">
        <v>0</v>
      </c>
      <c r="H216" s="4">
        <v>2216.299</v>
      </c>
      <c r="I216" s="4"/>
      <c r="J216" s="5">
        <f>H216+I216</f>
        <v>2216.299</v>
      </c>
    </row>
    <row r="217" spans="1:10" ht="12" customHeight="1" hidden="1">
      <c r="A217" s="456"/>
      <c r="B217" s="340" t="s">
        <v>4</v>
      </c>
      <c r="C217" s="312" t="s">
        <v>288</v>
      </c>
      <c r="D217" s="318" t="s">
        <v>2</v>
      </c>
      <c r="E217" s="318" t="s">
        <v>2</v>
      </c>
      <c r="F217" s="319" t="s">
        <v>289</v>
      </c>
      <c r="G217" s="295">
        <f>SUM(G218:G220)</f>
        <v>0</v>
      </c>
      <c r="H217" s="105">
        <f>SUM(H218:H220)</f>
        <v>4782.6385</v>
      </c>
      <c r="I217" s="295">
        <f>SUM(I218:I220)</f>
        <v>0</v>
      </c>
      <c r="J217" s="295">
        <f>SUM(J218:J220)</f>
        <v>4782.6385</v>
      </c>
    </row>
    <row r="218" spans="1:10" ht="12" customHeight="1" hidden="1">
      <c r="A218" s="456"/>
      <c r="B218" s="320"/>
      <c r="C218" s="321"/>
      <c r="D218" s="309">
        <v>2212</v>
      </c>
      <c r="E218" s="344">
        <v>5169</v>
      </c>
      <c r="F218" s="272" t="s">
        <v>60</v>
      </c>
      <c r="G218" s="7">
        <v>0</v>
      </c>
      <c r="H218" s="107">
        <v>4.22</v>
      </c>
      <c r="I218" s="7"/>
      <c r="J218" s="7">
        <f>H218+I218</f>
        <v>4.22</v>
      </c>
    </row>
    <row r="219" spans="1:10" ht="12" customHeight="1" hidden="1">
      <c r="A219" s="456"/>
      <c r="B219" s="320"/>
      <c r="C219" s="373" t="s">
        <v>200</v>
      </c>
      <c r="D219" s="309">
        <v>2212</v>
      </c>
      <c r="E219" s="344">
        <v>5169</v>
      </c>
      <c r="F219" s="272" t="s">
        <v>60</v>
      </c>
      <c r="G219" s="16">
        <v>0</v>
      </c>
      <c r="H219" s="7">
        <f>23.9125+19.602+13.915</f>
        <v>57.4295</v>
      </c>
      <c r="I219" s="7"/>
      <c r="J219" s="7">
        <f>H219+I219</f>
        <v>57.4295</v>
      </c>
    </row>
    <row r="220" spans="1:10" ht="12" customHeight="1" hidden="1" thickBot="1">
      <c r="A220" s="456"/>
      <c r="B220" s="347"/>
      <c r="C220" s="348" t="s">
        <v>200</v>
      </c>
      <c r="D220" s="308">
        <v>2212</v>
      </c>
      <c r="E220" s="349">
        <v>5171</v>
      </c>
      <c r="F220" s="350" t="s">
        <v>203</v>
      </c>
      <c r="G220" s="5">
        <v>0</v>
      </c>
      <c r="H220" s="4">
        <v>4720.989</v>
      </c>
      <c r="I220" s="4"/>
      <c r="J220" s="5">
        <f>H220+I220</f>
        <v>4720.989</v>
      </c>
    </row>
    <row r="221" spans="1:10" ht="12" customHeight="1" hidden="1">
      <c r="A221" s="456"/>
      <c r="B221" s="340" t="s">
        <v>4</v>
      </c>
      <c r="C221" s="312" t="s">
        <v>290</v>
      </c>
      <c r="D221" s="318" t="s">
        <v>2</v>
      </c>
      <c r="E221" s="318" t="s">
        <v>2</v>
      </c>
      <c r="F221" s="319" t="s">
        <v>291</v>
      </c>
      <c r="G221" s="295">
        <f>SUM(G222:G223)</f>
        <v>0</v>
      </c>
      <c r="H221" s="105">
        <f>SUM(H222:H223)</f>
        <v>28.1325</v>
      </c>
      <c r="I221" s="295">
        <f>SUM(I222:I223)</f>
        <v>0</v>
      </c>
      <c r="J221" s="295">
        <f>SUM(J222:J223)</f>
        <v>28.1325</v>
      </c>
    </row>
    <row r="222" spans="1:10" ht="12" customHeight="1" hidden="1">
      <c r="A222" s="456"/>
      <c r="B222" s="320"/>
      <c r="C222" s="321"/>
      <c r="D222" s="309">
        <v>2212</v>
      </c>
      <c r="E222" s="344">
        <v>5169</v>
      </c>
      <c r="F222" s="272" t="s">
        <v>60</v>
      </c>
      <c r="G222" s="7">
        <v>0</v>
      </c>
      <c r="H222" s="107">
        <v>4.22</v>
      </c>
      <c r="I222" s="7"/>
      <c r="J222" s="7">
        <f>H222+I222</f>
        <v>4.22</v>
      </c>
    </row>
    <row r="223" spans="1:10" ht="12" customHeight="1" hidden="1" thickBot="1">
      <c r="A223" s="456"/>
      <c r="B223" s="330"/>
      <c r="C223" s="366" t="s">
        <v>200</v>
      </c>
      <c r="D223" s="309">
        <v>2212</v>
      </c>
      <c r="E223" s="344">
        <v>5169</v>
      </c>
      <c r="F223" s="272" t="s">
        <v>60</v>
      </c>
      <c r="G223" s="6">
        <v>0</v>
      </c>
      <c r="H223" s="4">
        <v>23.9125</v>
      </c>
      <c r="I223" s="4"/>
      <c r="J223" s="7">
        <f>H223+I223</f>
        <v>23.9125</v>
      </c>
    </row>
    <row r="224" spans="1:10" ht="12" customHeight="1" hidden="1">
      <c r="A224" s="456"/>
      <c r="B224" s="340" t="s">
        <v>4</v>
      </c>
      <c r="C224" s="312" t="s">
        <v>292</v>
      </c>
      <c r="D224" s="318" t="s">
        <v>2</v>
      </c>
      <c r="E224" s="318" t="s">
        <v>2</v>
      </c>
      <c r="F224" s="319" t="s">
        <v>293</v>
      </c>
      <c r="G224" s="295">
        <f>SUM(G225:G227)</f>
        <v>0</v>
      </c>
      <c r="H224" s="105">
        <f>SUM(H225:H227)</f>
        <v>2292.4615000000003</v>
      </c>
      <c r="I224" s="295">
        <f>SUM(I225:I227)</f>
        <v>0</v>
      </c>
      <c r="J224" s="295">
        <f>SUM(J225:J227)</f>
        <v>2292.4615000000003</v>
      </c>
    </row>
    <row r="225" spans="1:10" ht="12" customHeight="1" hidden="1">
      <c r="A225" s="456"/>
      <c r="B225" s="320"/>
      <c r="C225" s="321"/>
      <c r="D225" s="309">
        <v>2212</v>
      </c>
      <c r="E225" s="344">
        <v>5169</v>
      </c>
      <c r="F225" s="272" t="s">
        <v>60</v>
      </c>
      <c r="G225" s="7">
        <v>0</v>
      </c>
      <c r="H225" s="107">
        <v>4.22</v>
      </c>
      <c r="I225" s="7"/>
      <c r="J225" s="7">
        <f>H225+I225</f>
        <v>4.22</v>
      </c>
    </row>
    <row r="226" spans="1:10" ht="12" customHeight="1" hidden="1">
      <c r="A226" s="456"/>
      <c r="B226" s="320"/>
      <c r="C226" s="352" t="s">
        <v>200</v>
      </c>
      <c r="D226" s="309">
        <v>2212</v>
      </c>
      <c r="E226" s="344">
        <v>5169</v>
      </c>
      <c r="F226" s="272" t="s">
        <v>60</v>
      </c>
      <c r="G226" s="7">
        <v>0</v>
      </c>
      <c r="H226" s="7">
        <f>23.9125+12.281+10.121</f>
        <v>46.3145</v>
      </c>
      <c r="I226" s="7"/>
      <c r="J226" s="7">
        <f>H226+I226</f>
        <v>46.3145</v>
      </c>
    </row>
    <row r="227" spans="1:10" ht="12" customHeight="1" hidden="1" thickBot="1">
      <c r="A227" s="456"/>
      <c r="B227" s="347"/>
      <c r="C227" s="348" t="s">
        <v>200</v>
      </c>
      <c r="D227" s="308">
        <v>2212</v>
      </c>
      <c r="E227" s="349">
        <v>5171</v>
      </c>
      <c r="F227" s="350" t="s">
        <v>203</v>
      </c>
      <c r="G227" s="5">
        <v>0</v>
      </c>
      <c r="H227" s="4">
        <v>2241.927</v>
      </c>
      <c r="I227" s="4"/>
      <c r="J227" s="5">
        <f>H227+I227</f>
        <v>2241.927</v>
      </c>
    </row>
    <row r="228" spans="1:10" ht="12" customHeight="1" hidden="1">
      <c r="A228" s="456"/>
      <c r="B228" s="340" t="s">
        <v>4</v>
      </c>
      <c r="C228" s="312" t="s">
        <v>294</v>
      </c>
      <c r="D228" s="318" t="s">
        <v>2</v>
      </c>
      <c r="E228" s="318" t="s">
        <v>2</v>
      </c>
      <c r="F228" s="319" t="s">
        <v>295</v>
      </c>
      <c r="G228" s="295">
        <f>SUM(G229:G231)</f>
        <v>0</v>
      </c>
      <c r="H228" s="105">
        <f>SUM(H229:H231)</f>
        <v>4477.6365000000005</v>
      </c>
      <c r="I228" s="295">
        <f>SUM(I229:I231)</f>
        <v>0</v>
      </c>
      <c r="J228" s="295">
        <f>SUM(J229:J231)</f>
        <v>4477.6365000000005</v>
      </c>
    </row>
    <row r="229" spans="1:10" ht="12" customHeight="1" hidden="1">
      <c r="A229" s="456"/>
      <c r="B229" s="320"/>
      <c r="C229" s="321"/>
      <c r="D229" s="309">
        <v>2212</v>
      </c>
      <c r="E229" s="344">
        <v>5169</v>
      </c>
      <c r="F229" s="272" t="s">
        <v>60</v>
      </c>
      <c r="G229" s="7">
        <v>0</v>
      </c>
      <c r="H229" s="107">
        <v>4.22</v>
      </c>
      <c r="I229" s="7"/>
      <c r="J229" s="7">
        <f>H229+I229</f>
        <v>4.22</v>
      </c>
    </row>
    <row r="230" spans="1:10" ht="12" customHeight="1" hidden="1">
      <c r="A230" s="456"/>
      <c r="B230" s="320"/>
      <c r="C230" s="352" t="s">
        <v>200</v>
      </c>
      <c r="D230" s="309">
        <v>2212</v>
      </c>
      <c r="E230" s="344">
        <v>5169</v>
      </c>
      <c r="F230" s="272" t="s">
        <v>60</v>
      </c>
      <c r="G230" s="7">
        <v>0</v>
      </c>
      <c r="H230" s="7">
        <f>23.9125+12.282+10.122</f>
        <v>46.316500000000005</v>
      </c>
      <c r="I230" s="7"/>
      <c r="J230" s="7">
        <f>H230+I230</f>
        <v>46.316500000000005</v>
      </c>
    </row>
    <row r="231" spans="1:10" ht="12" customHeight="1" hidden="1" thickBot="1">
      <c r="A231" s="456"/>
      <c r="B231" s="347"/>
      <c r="C231" s="348" t="s">
        <v>200</v>
      </c>
      <c r="D231" s="308">
        <v>2212</v>
      </c>
      <c r="E231" s="349">
        <v>5171</v>
      </c>
      <c r="F231" s="350" t="s">
        <v>203</v>
      </c>
      <c r="G231" s="5">
        <v>0</v>
      </c>
      <c r="H231" s="106">
        <v>4427.1</v>
      </c>
      <c r="I231" s="4"/>
      <c r="J231" s="5">
        <f>H231+I231</f>
        <v>4427.1</v>
      </c>
    </row>
    <row r="232" spans="1:10" ht="12" customHeight="1" hidden="1">
      <c r="A232" s="456"/>
      <c r="B232" s="340" t="s">
        <v>4</v>
      </c>
      <c r="C232" s="312" t="s">
        <v>296</v>
      </c>
      <c r="D232" s="318" t="s">
        <v>2</v>
      </c>
      <c r="E232" s="318" t="s">
        <v>2</v>
      </c>
      <c r="F232" s="319" t="s">
        <v>297</v>
      </c>
      <c r="G232" s="295">
        <f>SUM(G233:G235)</f>
        <v>0</v>
      </c>
      <c r="H232" s="295">
        <f>SUM(H233:H235)</f>
        <v>1455.4835</v>
      </c>
      <c r="I232" s="295">
        <f>SUM(I233:I235)</f>
        <v>0</v>
      </c>
      <c r="J232" s="295">
        <f>SUM(J233:J235)</f>
        <v>1455.4835</v>
      </c>
    </row>
    <row r="233" spans="1:10" ht="12" customHeight="1" hidden="1">
      <c r="A233" s="456"/>
      <c r="B233" s="320"/>
      <c r="C233" s="321"/>
      <c r="D233" s="309">
        <v>2212</v>
      </c>
      <c r="E233" s="344">
        <v>5169</v>
      </c>
      <c r="F233" s="272" t="s">
        <v>60</v>
      </c>
      <c r="G233" s="7">
        <v>0</v>
      </c>
      <c r="H233" s="107">
        <v>4.22</v>
      </c>
      <c r="I233" s="7"/>
      <c r="J233" s="7">
        <f>H233+I233</f>
        <v>4.22</v>
      </c>
    </row>
    <row r="234" spans="1:10" ht="12" customHeight="1" hidden="1">
      <c r="A234" s="456"/>
      <c r="B234" s="320"/>
      <c r="C234" s="352" t="s">
        <v>200</v>
      </c>
      <c r="D234" s="309">
        <v>2212</v>
      </c>
      <c r="E234" s="344">
        <v>5169</v>
      </c>
      <c r="F234" s="272" t="s">
        <v>60</v>
      </c>
      <c r="G234" s="7">
        <v>0</v>
      </c>
      <c r="H234" s="7">
        <f>23.9125+14.823+9.378</f>
        <v>48.1135</v>
      </c>
      <c r="I234" s="7"/>
      <c r="J234" s="7">
        <f>H234+I234</f>
        <v>48.1135</v>
      </c>
    </row>
    <row r="235" spans="1:10" ht="12" customHeight="1" hidden="1" thickBot="1">
      <c r="A235" s="456"/>
      <c r="B235" s="372"/>
      <c r="C235" s="348" t="s">
        <v>200</v>
      </c>
      <c r="D235" s="308">
        <v>2212</v>
      </c>
      <c r="E235" s="349">
        <v>5171</v>
      </c>
      <c r="F235" s="350" t="s">
        <v>203</v>
      </c>
      <c r="G235" s="5">
        <v>0</v>
      </c>
      <c r="H235" s="5">
        <v>1403.15</v>
      </c>
      <c r="I235" s="5"/>
      <c r="J235" s="5">
        <f>H235+I235</f>
        <v>1403.15</v>
      </c>
    </row>
    <row r="236" spans="1:10" ht="12" customHeight="1" hidden="1">
      <c r="A236" s="456"/>
      <c r="B236" s="340" t="s">
        <v>4</v>
      </c>
      <c r="C236" s="312" t="s">
        <v>298</v>
      </c>
      <c r="D236" s="318" t="s">
        <v>2</v>
      </c>
      <c r="E236" s="318" t="s">
        <v>2</v>
      </c>
      <c r="F236" s="319" t="s">
        <v>299</v>
      </c>
      <c r="G236" s="295">
        <f>SUM(G237:G239)</f>
        <v>0</v>
      </c>
      <c r="H236" s="105">
        <f>SUM(H237:H239)</f>
        <v>1650.8045</v>
      </c>
      <c r="I236" s="295">
        <f>SUM(I237:I239)</f>
        <v>0</v>
      </c>
      <c r="J236" s="295">
        <f>SUM(J237:J239)</f>
        <v>1650.8045</v>
      </c>
    </row>
    <row r="237" spans="1:10" ht="12" customHeight="1" hidden="1">
      <c r="A237" s="456"/>
      <c r="B237" s="320"/>
      <c r="C237" s="321"/>
      <c r="D237" s="309">
        <v>2212</v>
      </c>
      <c r="E237" s="344">
        <v>5169</v>
      </c>
      <c r="F237" s="272" t="s">
        <v>60</v>
      </c>
      <c r="G237" s="7">
        <v>0</v>
      </c>
      <c r="H237" s="107">
        <v>4.22</v>
      </c>
      <c r="I237" s="7"/>
      <c r="J237" s="7">
        <f>H237+I237</f>
        <v>4.22</v>
      </c>
    </row>
    <row r="238" spans="1:10" ht="12" customHeight="1" hidden="1">
      <c r="A238" s="456"/>
      <c r="B238" s="320"/>
      <c r="C238" s="352" t="s">
        <v>200</v>
      </c>
      <c r="D238" s="309">
        <v>2212</v>
      </c>
      <c r="E238" s="344">
        <v>5169</v>
      </c>
      <c r="F238" s="272" t="s">
        <v>60</v>
      </c>
      <c r="G238" s="7">
        <v>0</v>
      </c>
      <c r="H238" s="7">
        <f>23.9125+14.823+9.378</f>
        <v>48.1135</v>
      </c>
      <c r="I238" s="7"/>
      <c r="J238" s="7">
        <f>H238+I238</f>
        <v>48.1135</v>
      </c>
    </row>
    <row r="239" spans="1:10" ht="12" customHeight="1" hidden="1" thickBot="1">
      <c r="A239" s="456"/>
      <c r="B239" s="347"/>
      <c r="C239" s="348" t="s">
        <v>200</v>
      </c>
      <c r="D239" s="308">
        <v>2212</v>
      </c>
      <c r="E239" s="349">
        <v>5171</v>
      </c>
      <c r="F239" s="350" t="s">
        <v>203</v>
      </c>
      <c r="G239" s="5">
        <v>0</v>
      </c>
      <c r="H239" s="4">
        <v>1598.471</v>
      </c>
      <c r="I239" s="4"/>
      <c r="J239" s="5">
        <f>H239+I239</f>
        <v>1598.471</v>
      </c>
    </row>
    <row r="240" spans="1:10" ht="12" customHeight="1" hidden="1">
      <c r="A240" s="456"/>
      <c r="B240" s="340" t="s">
        <v>4</v>
      </c>
      <c r="C240" s="312" t="s">
        <v>300</v>
      </c>
      <c r="D240" s="318" t="s">
        <v>2</v>
      </c>
      <c r="E240" s="318" t="s">
        <v>2</v>
      </c>
      <c r="F240" s="319" t="s">
        <v>301</v>
      </c>
      <c r="G240" s="295">
        <f>SUM(G241:G243)</f>
        <v>0</v>
      </c>
      <c r="H240" s="105">
        <f>SUM(H241:H243)</f>
        <v>2806.5924999999997</v>
      </c>
      <c r="I240" s="295">
        <f>SUM(I241:I243)</f>
        <v>0</v>
      </c>
      <c r="J240" s="295">
        <f>SUM(J241:J243)</f>
        <v>2806.5924999999997</v>
      </c>
    </row>
    <row r="241" spans="1:10" ht="12" customHeight="1" hidden="1">
      <c r="A241" s="456"/>
      <c r="B241" s="320"/>
      <c r="C241" s="321"/>
      <c r="D241" s="309">
        <v>2212</v>
      </c>
      <c r="E241" s="344">
        <v>5169</v>
      </c>
      <c r="F241" s="272" t="s">
        <v>60</v>
      </c>
      <c r="G241" s="7">
        <v>0</v>
      </c>
      <c r="H241" s="107">
        <v>4.22</v>
      </c>
      <c r="I241" s="7"/>
      <c r="J241" s="7">
        <f>H241+I241</f>
        <v>4.22</v>
      </c>
    </row>
    <row r="242" spans="1:10" ht="12" customHeight="1" hidden="1">
      <c r="A242" s="456"/>
      <c r="B242" s="320"/>
      <c r="C242" s="352" t="s">
        <v>200</v>
      </c>
      <c r="D242" s="309">
        <v>2212</v>
      </c>
      <c r="E242" s="344">
        <v>5169</v>
      </c>
      <c r="F242" s="272" t="s">
        <v>60</v>
      </c>
      <c r="G242" s="7">
        <v>0</v>
      </c>
      <c r="H242" s="7">
        <f>23.9125+26.922+19.844</f>
        <v>70.67850000000001</v>
      </c>
      <c r="I242" s="7"/>
      <c r="J242" s="7">
        <f>H242+I242</f>
        <v>70.67850000000001</v>
      </c>
    </row>
    <row r="243" spans="1:10" ht="12" customHeight="1" hidden="1" thickBot="1">
      <c r="A243" s="456"/>
      <c r="B243" s="347"/>
      <c r="C243" s="348" t="s">
        <v>200</v>
      </c>
      <c r="D243" s="308">
        <v>2212</v>
      </c>
      <c r="E243" s="349">
        <v>5171</v>
      </c>
      <c r="F243" s="350" t="s">
        <v>203</v>
      </c>
      <c r="G243" s="5">
        <v>0</v>
      </c>
      <c r="H243" s="4">
        <v>2731.694</v>
      </c>
      <c r="I243" s="4"/>
      <c r="J243" s="5">
        <f>H243+I243</f>
        <v>2731.694</v>
      </c>
    </row>
    <row r="244" spans="1:10" ht="12" customHeight="1" hidden="1">
      <c r="A244" s="456"/>
      <c r="B244" s="340" t="s">
        <v>4</v>
      </c>
      <c r="C244" s="312" t="s">
        <v>302</v>
      </c>
      <c r="D244" s="318" t="s">
        <v>2</v>
      </c>
      <c r="E244" s="318" t="s">
        <v>2</v>
      </c>
      <c r="F244" s="319" t="s">
        <v>303</v>
      </c>
      <c r="G244" s="295">
        <f>SUM(G245:G247)</f>
        <v>0</v>
      </c>
      <c r="H244" s="105">
        <f>SUM(H245:H247)</f>
        <v>4798.0685</v>
      </c>
      <c r="I244" s="295">
        <f>SUM(I245:I247)</f>
        <v>0</v>
      </c>
      <c r="J244" s="295">
        <f>SUM(J245:J247)</f>
        <v>4798.0685</v>
      </c>
    </row>
    <row r="245" spans="1:10" ht="12" customHeight="1" hidden="1">
      <c r="A245" s="456"/>
      <c r="B245" s="320"/>
      <c r="C245" s="321"/>
      <c r="D245" s="309">
        <v>2212</v>
      </c>
      <c r="E245" s="344">
        <v>5169</v>
      </c>
      <c r="F245" s="272" t="s">
        <v>60</v>
      </c>
      <c r="G245" s="7">
        <v>0</v>
      </c>
      <c r="H245" s="107">
        <v>4.22</v>
      </c>
      <c r="I245" s="7"/>
      <c r="J245" s="7">
        <f>H245+I245</f>
        <v>4.22</v>
      </c>
    </row>
    <row r="246" spans="1:10" ht="12" customHeight="1" hidden="1">
      <c r="A246" s="456"/>
      <c r="B246" s="320"/>
      <c r="C246" s="352" t="s">
        <v>200</v>
      </c>
      <c r="D246" s="309">
        <v>2212</v>
      </c>
      <c r="E246" s="344">
        <v>5169</v>
      </c>
      <c r="F246" s="272" t="s">
        <v>60</v>
      </c>
      <c r="G246" s="7">
        <v>0</v>
      </c>
      <c r="H246" s="7">
        <f>23.9125+64.13+51.425</f>
        <v>139.46749999999997</v>
      </c>
      <c r="I246" s="7"/>
      <c r="J246" s="7">
        <f>H246+I246</f>
        <v>139.46749999999997</v>
      </c>
    </row>
    <row r="247" spans="1:10" ht="12" customHeight="1" hidden="1" thickBot="1">
      <c r="A247" s="456"/>
      <c r="B247" s="330"/>
      <c r="C247" s="366" t="s">
        <v>200</v>
      </c>
      <c r="D247" s="309">
        <v>2212</v>
      </c>
      <c r="E247" s="361">
        <v>5171</v>
      </c>
      <c r="F247" s="314" t="s">
        <v>203</v>
      </c>
      <c r="G247" s="6">
        <v>0</v>
      </c>
      <c r="H247" s="4">
        <v>4654.381</v>
      </c>
      <c r="I247" s="4"/>
      <c r="J247" s="4">
        <f>H247+I247</f>
        <v>4654.381</v>
      </c>
    </row>
    <row r="248" spans="1:10" ht="12" customHeight="1" hidden="1">
      <c r="A248" s="456"/>
      <c r="B248" s="340" t="s">
        <v>4</v>
      </c>
      <c r="C248" s="312" t="s">
        <v>304</v>
      </c>
      <c r="D248" s="318" t="s">
        <v>2</v>
      </c>
      <c r="E248" s="318" t="s">
        <v>2</v>
      </c>
      <c r="F248" s="319" t="s">
        <v>305</v>
      </c>
      <c r="G248" s="295">
        <f>SUM(G249:G251)</f>
        <v>0</v>
      </c>
      <c r="H248" s="105">
        <f>SUM(H249:H251)</f>
        <v>9853.4165</v>
      </c>
      <c r="I248" s="295">
        <f>SUM(I249:I251)</f>
        <v>0</v>
      </c>
      <c r="J248" s="295">
        <f>SUM(J249:J251)</f>
        <v>9853.4165</v>
      </c>
    </row>
    <row r="249" spans="1:10" ht="12" customHeight="1" hidden="1">
      <c r="A249" s="456"/>
      <c r="B249" s="320"/>
      <c r="C249" s="321"/>
      <c r="D249" s="309">
        <v>2212</v>
      </c>
      <c r="E249" s="344">
        <v>5169</v>
      </c>
      <c r="F249" s="272" t="s">
        <v>60</v>
      </c>
      <c r="G249" s="7">
        <v>0</v>
      </c>
      <c r="H249" s="107">
        <v>4.22</v>
      </c>
      <c r="I249" s="7"/>
      <c r="J249" s="7">
        <f>H249+I249</f>
        <v>4.22</v>
      </c>
    </row>
    <row r="250" spans="1:10" ht="12" customHeight="1" hidden="1">
      <c r="A250" s="456"/>
      <c r="B250" s="320"/>
      <c r="C250" s="352" t="s">
        <v>200</v>
      </c>
      <c r="D250" s="309">
        <v>2212</v>
      </c>
      <c r="E250" s="344">
        <v>5169</v>
      </c>
      <c r="F250" s="272" t="s">
        <v>60</v>
      </c>
      <c r="G250" s="7">
        <v>0</v>
      </c>
      <c r="H250" s="7">
        <f>23.9125+64.13+51.425</f>
        <v>139.46749999999997</v>
      </c>
      <c r="I250" s="7"/>
      <c r="J250" s="7">
        <f>H250+I250</f>
        <v>139.46749999999997</v>
      </c>
    </row>
    <row r="251" spans="1:10" ht="12" customHeight="1" hidden="1" thickBot="1">
      <c r="A251" s="456"/>
      <c r="B251" s="330"/>
      <c r="C251" s="366" t="s">
        <v>200</v>
      </c>
      <c r="D251" s="309">
        <v>2212</v>
      </c>
      <c r="E251" s="361">
        <v>5171</v>
      </c>
      <c r="F251" s="314" t="s">
        <v>203</v>
      </c>
      <c r="G251" s="6">
        <v>0</v>
      </c>
      <c r="H251" s="4">
        <v>9709.729</v>
      </c>
      <c r="I251" s="4"/>
      <c r="J251" s="4">
        <f>H251+I251</f>
        <v>9709.729</v>
      </c>
    </row>
    <row r="252" spans="1:10" ht="12" customHeight="1" hidden="1">
      <c r="A252" s="456"/>
      <c r="B252" s="340" t="s">
        <v>4</v>
      </c>
      <c r="C252" s="312" t="s">
        <v>306</v>
      </c>
      <c r="D252" s="318" t="s">
        <v>2</v>
      </c>
      <c r="E252" s="318" t="s">
        <v>2</v>
      </c>
      <c r="F252" s="319" t="s">
        <v>307</v>
      </c>
      <c r="G252" s="295">
        <f>SUM(G253:G255)</f>
        <v>0</v>
      </c>
      <c r="H252" s="105">
        <f>SUM(H253:H255)</f>
        <v>4297.423500000001</v>
      </c>
      <c r="I252" s="295">
        <f>SUM(I253:I255)</f>
        <v>0</v>
      </c>
      <c r="J252" s="295">
        <f>SUM(J253:J255)</f>
        <v>4297.423500000001</v>
      </c>
    </row>
    <row r="253" spans="1:10" ht="12" customHeight="1" hidden="1">
      <c r="A253" s="456"/>
      <c r="B253" s="320"/>
      <c r="C253" s="321"/>
      <c r="D253" s="309">
        <v>2212</v>
      </c>
      <c r="E253" s="344">
        <v>5169</v>
      </c>
      <c r="F253" s="272" t="s">
        <v>60</v>
      </c>
      <c r="G253" s="7">
        <v>0</v>
      </c>
      <c r="H253" s="107">
        <v>4.22</v>
      </c>
      <c r="I253" s="7"/>
      <c r="J253" s="7">
        <f>H253+I253</f>
        <v>4.22</v>
      </c>
    </row>
    <row r="254" spans="1:10" ht="12" customHeight="1" hidden="1">
      <c r="A254" s="456"/>
      <c r="B254" s="320"/>
      <c r="C254" s="352" t="s">
        <v>200</v>
      </c>
      <c r="D254" s="309">
        <v>2212</v>
      </c>
      <c r="E254" s="344">
        <v>5169</v>
      </c>
      <c r="F254" s="272" t="s">
        <v>60</v>
      </c>
      <c r="G254" s="7">
        <v>0</v>
      </c>
      <c r="H254" s="7">
        <f>23.9125+49.126+38.163</f>
        <v>111.2015</v>
      </c>
      <c r="I254" s="7"/>
      <c r="J254" s="7">
        <f>H254+I254</f>
        <v>111.2015</v>
      </c>
    </row>
    <row r="255" spans="1:10" ht="12" customHeight="1" hidden="1" thickBot="1">
      <c r="A255" s="456"/>
      <c r="B255" s="347"/>
      <c r="C255" s="348" t="s">
        <v>200</v>
      </c>
      <c r="D255" s="299">
        <v>2212</v>
      </c>
      <c r="E255" s="361">
        <v>5171</v>
      </c>
      <c r="F255" s="314" t="s">
        <v>203</v>
      </c>
      <c r="G255" s="5">
        <v>0</v>
      </c>
      <c r="H255" s="4">
        <v>4182.002</v>
      </c>
      <c r="I255" s="4"/>
      <c r="J255" s="4">
        <f>H255+I255</f>
        <v>4182.002</v>
      </c>
    </row>
    <row r="256" spans="1:10" ht="12" customHeight="1" hidden="1">
      <c r="A256" s="456"/>
      <c r="B256" s="340" t="s">
        <v>4</v>
      </c>
      <c r="C256" s="312" t="s">
        <v>308</v>
      </c>
      <c r="D256" s="318" t="s">
        <v>2</v>
      </c>
      <c r="E256" s="318" t="s">
        <v>2</v>
      </c>
      <c r="F256" s="319" t="s">
        <v>309</v>
      </c>
      <c r="G256" s="295">
        <f>SUM(G257:G258)</f>
        <v>0</v>
      </c>
      <c r="H256" s="105">
        <f>SUM(H257:H258)</f>
        <v>130.996</v>
      </c>
      <c r="I256" s="295">
        <f>SUM(I257:I258)</f>
        <v>0</v>
      </c>
      <c r="J256" s="295">
        <f>SUM(J257:J258)</f>
        <v>130.996</v>
      </c>
    </row>
    <row r="257" spans="1:10" ht="12" customHeight="1" hidden="1">
      <c r="A257" s="456"/>
      <c r="B257" s="371"/>
      <c r="C257" s="321"/>
      <c r="D257" s="309">
        <v>2212</v>
      </c>
      <c r="E257" s="344">
        <v>5169</v>
      </c>
      <c r="F257" s="272" t="s">
        <v>60</v>
      </c>
      <c r="G257" s="7">
        <v>0</v>
      </c>
      <c r="H257" s="7">
        <v>27.225</v>
      </c>
      <c r="I257" s="7"/>
      <c r="J257" s="7">
        <f>H257+I257</f>
        <v>27.225</v>
      </c>
    </row>
    <row r="258" spans="1:10" ht="12" customHeight="1" hidden="1" thickBot="1">
      <c r="A258" s="456"/>
      <c r="B258" s="359"/>
      <c r="C258" s="375"/>
      <c r="D258" s="299">
        <v>2212</v>
      </c>
      <c r="E258" s="361">
        <v>5171</v>
      </c>
      <c r="F258" s="314" t="s">
        <v>203</v>
      </c>
      <c r="G258" s="4">
        <v>0</v>
      </c>
      <c r="H258" s="4">
        <f>104.828-1.057</f>
        <v>103.771</v>
      </c>
      <c r="I258" s="4"/>
      <c r="J258" s="4">
        <f>H258+I258</f>
        <v>103.771</v>
      </c>
    </row>
    <row r="259" spans="1:10" ht="12" customHeight="1" hidden="1">
      <c r="A259" s="456"/>
      <c r="B259" s="340" t="s">
        <v>4</v>
      </c>
      <c r="C259" s="312" t="s">
        <v>310</v>
      </c>
      <c r="D259" s="318" t="s">
        <v>2</v>
      </c>
      <c r="E259" s="318" t="s">
        <v>2</v>
      </c>
      <c r="F259" s="319" t="s">
        <v>311</v>
      </c>
      <c r="G259" s="295">
        <f>SUM(G260:G262)</f>
        <v>0</v>
      </c>
      <c r="H259" s="105">
        <f>SUM(H260:H262)</f>
        <v>1369.9669999999999</v>
      </c>
      <c r="I259" s="295">
        <f>SUM(I260:I262)</f>
        <v>0</v>
      </c>
      <c r="J259" s="295">
        <f>SUM(J260:J262)</f>
        <v>1369.9669999999999</v>
      </c>
    </row>
    <row r="260" spans="1:10" ht="12" customHeight="1" hidden="1">
      <c r="A260" s="456"/>
      <c r="B260" s="320"/>
      <c r="C260" s="321"/>
      <c r="D260" s="309">
        <v>2212</v>
      </c>
      <c r="E260" s="344">
        <v>5169</v>
      </c>
      <c r="F260" s="272" t="s">
        <v>60</v>
      </c>
      <c r="G260" s="7">
        <v>0</v>
      </c>
      <c r="H260" s="7">
        <v>39.325</v>
      </c>
      <c r="I260" s="7"/>
      <c r="J260" s="7">
        <f>H260+I260</f>
        <v>39.325</v>
      </c>
    </row>
    <row r="261" spans="1:10" ht="12" customHeight="1" hidden="1">
      <c r="A261" s="456"/>
      <c r="B261" s="320"/>
      <c r="C261" s="352" t="s">
        <v>200</v>
      </c>
      <c r="D261" s="309">
        <v>2212</v>
      </c>
      <c r="E261" s="344">
        <v>5169</v>
      </c>
      <c r="F261" s="272" t="s">
        <v>60</v>
      </c>
      <c r="G261" s="7">
        <v>0</v>
      </c>
      <c r="H261" s="7">
        <f>29.04+26.051</f>
        <v>55.090999999999994</v>
      </c>
      <c r="I261" s="7"/>
      <c r="J261" s="7">
        <f>H261+I261</f>
        <v>55.090999999999994</v>
      </c>
    </row>
    <row r="262" spans="1:10" ht="12" customHeight="1" hidden="1" thickBot="1">
      <c r="A262" s="456"/>
      <c r="B262" s="347"/>
      <c r="C262" s="348" t="s">
        <v>200</v>
      </c>
      <c r="D262" s="299">
        <v>2212</v>
      </c>
      <c r="E262" s="361">
        <v>5171</v>
      </c>
      <c r="F262" s="314" t="s">
        <v>203</v>
      </c>
      <c r="G262" s="5">
        <v>0</v>
      </c>
      <c r="H262" s="4">
        <f>906.986+372.195-3.63</f>
        <v>1275.551</v>
      </c>
      <c r="I262" s="7"/>
      <c r="J262" s="4">
        <f>H262+I262</f>
        <v>1275.551</v>
      </c>
    </row>
    <row r="263" spans="1:10" ht="12" customHeight="1" hidden="1">
      <c r="A263" s="456"/>
      <c r="B263" s="340" t="s">
        <v>4</v>
      </c>
      <c r="C263" s="312" t="s">
        <v>312</v>
      </c>
      <c r="D263" s="318" t="s">
        <v>2</v>
      </c>
      <c r="E263" s="318" t="s">
        <v>2</v>
      </c>
      <c r="F263" s="319" t="s">
        <v>313</v>
      </c>
      <c r="G263" s="295">
        <f>SUM(G264:G266)</f>
        <v>0</v>
      </c>
      <c r="H263" s="105">
        <f>SUM(H264:H266)</f>
        <v>3018.022</v>
      </c>
      <c r="I263" s="295">
        <f>SUM(I264:I266)</f>
        <v>0</v>
      </c>
      <c r="J263" s="295">
        <f>SUM(J264:J266)</f>
        <v>3018.022</v>
      </c>
    </row>
    <row r="264" spans="1:10" ht="12" customHeight="1" hidden="1">
      <c r="A264" s="456"/>
      <c r="B264" s="320"/>
      <c r="C264" s="321"/>
      <c r="D264" s="309">
        <v>2212</v>
      </c>
      <c r="E264" s="344">
        <v>5169</v>
      </c>
      <c r="F264" s="272" t="s">
        <v>60</v>
      </c>
      <c r="G264" s="7">
        <v>0</v>
      </c>
      <c r="H264" s="7">
        <v>63.525</v>
      </c>
      <c r="I264" s="7"/>
      <c r="J264" s="7">
        <f>H264+I264</f>
        <v>63.525</v>
      </c>
    </row>
    <row r="265" spans="1:10" ht="12" customHeight="1" hidden="1">
      <c r="A265" s="456"/>
      <c r="B265" s="320"/>
      <c r="C265" s="352" t="s">
        <v>200</v>
      </c>
      <c r="D265" s="309">
        <v>2212</v>
      </c>
      <c r="E265" s="344">
        <v>5169</v>
      </c>
      <c r="F265" s="272" t="s">
        <v>60</v>
      </c>
      <c r="G265" s="7">
        <v>0</v>
      </c>
      <c r="H265" s="107">
        <f>48.4+20.57</f>
        <v>68.97</v>
      </c>
      <c r="I265" s="7"/>
      <c r="J265" s="7">
        <f>H265+I265</f>
        <v>68.97</v>
      </c>
    </row>
    <row r="266" spans="1:10" ht="12" customHeight="1" hidden="1" thickBot="1">
      <c r="A266" s="456"/>
      <c r="B266" s="347"/>
      <c r="C266" s="348" t="s">
        <v>200</v>
      </c>
      <c r="D266" s="299">
        <v>2212</v>
      </c>
      <c r="E266" s="361">
        <v>5171</v>
      </c>
      <c r="F266" s="314" t="s">
        <v>203</v>
      </c>
      <c r="G266" s="5">
        <v>0</v>
      </c>
      <c r="H266" s="4">
        <v>2885.527</v>
      </c>
      <c r="I266" s="4"/>
      <c r="J266" s="4">
        <f>H266+I266</f>
        <v>2885.527</v>
      </c>
    </row>
    <row r="267" spans="1:10" ht="12" customHeight="1" hidden="1">
      <c r="A267" s="456"/>
      <c r="B267" s="340" t="s">
        <v>4</v>
      </c>
      <c r="C267" s="312" t="s">
        <v>314</v>
      </c>
      <c r="D267" s="318" t="s">
        <v>2</v>
      </c>
      <c r="E267" s="318" t="s">
        <v>2</v>
      </c>
      <c r="F267" s="319" t="s">
        <v>315</v>
      </c>
      <c r="G267" s="295">
        <f>SUM(G268:G270)</f>
        <v>0</v>
      </c>
      <c r="H267" s="105">
        <f>SUM(H268:H270)</f>
        <v>642.8910000000001</v>
      </c>
      <c r="I267" s="295">
        <f>SUM(I268:I270)</f>
        <v>0</v>
      </c>
      <c r="J267" s="295">
        <f>SUM(J268:J270)</f>
        <v>642.8910000000001</v>
      </c>
    </row>
    <row r="268" spans="1:10" ht="12" customHeight="1" hidden="1">
      <c r="A268" s="456"/>
      <c r="B268" s="320"/>
      <c r="C268" s="321"/>
      <c r="D268" s="309">
        <v>2212</v>
      </c>
      <c r="E268" s="344">
        <v>5169</v>
      </c>
      <c r="F268" s="272" t="s">
        <v>60</v>
      </c>
      <c r="G268" s="7">
        <v>0</v>
      </c>
      <c r="H268" s="7">
        <v>39.325</v>
      </c>
      <c r="I268" s="7"/>
      <c r="J268" s="7">
        <f>H268+I268</f>
        <v>39.325</v>
      </c>
    </row>
    <row r="269" spans="1:10" ht="12" customHeight="1" hidden="1">
      <c r="A269" s="456"/>
      <c r="B269" s="320"/>
      <c r="C269" s="352" t="s">
        <v>200</v>
      </c>
      <c r="D269" s="309">
        <v>2212</v>
      </c>
      <c r="E269" s="344">
        <v>5169</v>
      </c>
      <c r="F269" s="272" t="s">
        <v>60</v>
      </c>
      <c r="G269" s="7">
        <v>0</v>
      </c>
      <c r="H269" s="7">
        <f>32.838+27.225</f>
        <v>60.063</v>
      </c>
      <c r="I269" s="7"/>
      <c r="J269" s="7">
        <f>H269+I269</f>
        <v>60.063</v>
      </c>
    </row>
    <row r="270" spans="1:10" ht="12" customHeight="1" hidden="1" thickBot="1">
      <c r="A270" s="456"/>
      <c r="B270" s="359"/>
      <c r="C270" s="375"/>
      <c r="D270" s="299">
        <v>2212</v>
      </c>
      <c r="E270" s="361">
        <v>5171</v>
      </c>
      <c r="F270" s="314" t="s">
        <v>203</v>
      </c>
      <c r="G270" s="4">
        <v>0</v>
      </c>
      <c r="H270" s="4">
        <v>543.503</v>
      </c>
      <c r="I270" s="4"/>
      <c r="J270" s="4">
        <f>H270+I270</f>
        <v>543.503</v>
      </c>
    </row>
    <row r="271" spans="1:10" ht="12" customHeight="1" hidden="1">
      <c r="A271" s="456"/>
      <c r="B271" s="340" t="s">
        <v>4</v>
      </c>
      <c r="C271" s="312" t="s">
        <v>316</v>
      </c>
      <c r="D271" s="318" t="s">
        <v>2</v>
      </c>
      <c r="E271" s="318" t="s">
        <v>2</v>
      </c>
      <c r="F271" s="319" t="s">
        <v>317</v>
      </c>
      <c r="G271" s="295">
        <f>SUM(G272:G274)</f>
        <v>0</v>
      </c>
      <c r="H271" s="105">
        <f>SUM(H272:H274)</f>
        <v>10349.389</v>
      </c>
      <c r="I271" s="295">
        <f>SUM(I272:I274)</f>
        <v>0</v>
      </c>
      <c r="J271" s="295">
        <f>SUM(J272:J274)</f>
        <v>10349.389</v>
      </c>
    </row>
    <row r="272" spans="1:10" ht="12" customHeight="1" hidden="1">
      <c r="A272" s="456"/>
      <c r="B272" s="320"/>
      <c r="C272" s="321"/>
      <c r="D272" s="309">
        <v>2212</v>
      </c>
      <c r="E272" s="344">
        <v>5169</v>
      </c>
      <c r="F272" s="272" t="s">
        <v>60</v>
      </c>
      <c r="G272" s="7">
        <v>0</v>
      </c>
      <c r="H272" s="7">
        <v>51.425</v>
      </c>
      <c r="I272" s="7"/>
      <c r="J272" s="7">
        <f>H272+I272</f>
        <v>51.425</v>
      </c>
    </row>
    <row r="273" spans="1:10" ht="12" customHeight="1" hidden="1">
      <c r="A273" s="456"/>
      <c r="B273" s="320"/>
      <c r="C273" s="352" t="s">
        <v>200</v>
      </c>
      <c r="D273" s="309">
        <v>2212</v>
      </c>
      <c r="E273" s="344">
        <v>5169</v>
      </c>
      <c r="F273" s="272" t="s">
        <v>60</v>
      </c>
      <c r="G273" s="7">
        <v>0</v>
      </c>
      <c r="H273" s="7">
        <f>84.441+51.425</f>
        <v>135.86599999999999</v>
      </c>
      <c r="I273" s="7"/>
      <c r="J273" s="7">
        <f>H273+I273</f>
        <v>135.86599999999999</v>
      </c>
    </row>
    <row r="274" spans="1:10" ht="12" customHeight="1" hidden="1" thickBot="1">
      <c r="A274" s="456"/>
      <c r="B274" s="347"/>
      <c r="C274" s="348" t="s">
        <v>200</v>
      </c>
      <c r="D274" s="308">
        <v>2212</v>
      </c>
      <c r="E274" s="349">
        <v>5171</v>
      </c>
      <c r="F274" s="350" t="s">
        <v>203</v>
      </c>
      <c r="G274" s="5">
        <v>0</v>
      </c>
      <c r="H274" s="4">
        <v>10162.098</v>
      </c>
      <c r="I274" s="4"/>
      <c r="J274" s="5">
        <f>H274+I274</f>
        <v>10162.098</v>
      </c>
    </row>
    <row r="275" spans="1:10" ht="12" customHeight="1" hidden="1">
      <c r="A275" s="456"/>
      <c r="B275" s="340" t="s">
        <v>4</v>
      </c>
      <c r="C275" s="312" t="s">
        <v>318</v>
      </c>
      <c r="D275" s="318" t="s">
        <v>2</v>
      </c>
      <c r="E275" s="318" t="s">
        <v>2</v>
      </c>
      <c r="F275" s="319" t="s">
        <v>319</v>
      </c>
      <c r="G275" s="295">
        <f>SUM(G276:G277)</f>
        <v>0</v>
      </c>
      <c r="H275" s="105">
        <f>SUM(H276:H277)</f>
        <v>29.04</v>
      </c>
      <c r="I275" s="295">
        <f>SUM(I276:I277)</f>
        <v>0</v>
      </c>
      <c r="J275" s="295">
        <f>SUM(J276:J277)</f>
        <v>29.04</v>
      </c>
    </row>
    <row r="276" spans="1:10" ht="12" customHeight="1" hidden="1">
      <c r="A276" s="456"/>
      <c r="B276" s="320"/>
      <c r="C276" s="321"/>
      <c r="D276" s="309">
        <v>2212</v>
      </c>
      <c r="E276" s="344">
        <v>5169</v>
      </c>
      <c r="F276" s="272" t="s">
        <v>60</v>
      </c>
      <c r="G276" s="7">
        <v>0</v>
      </c>
      <c r="H276" s="7">
        <v>4.356</v>
      </c>
      <c r="I276" s="7"/>
      <c r="J276" s="7">
        <f>H276+I276</f>
        <v>4.356</v>
      </c>
    </row>
    <row r="277" spans="1:10" ht="12" customHeight="1" hidden="1" thickBot="1">
      <c r="A277" s="456"/>
      <c r="B277" s="359"/>
      <c r="C277" s="360" t="s">
        <v>200</v>
      </c>
      <c r="D277" s="299">
        <v>2212</v>
      </c>
      <c r="E277" s="361">
        <v>5169</v>
      </c>
      <c r="F277" s="273" t="s">
        <v>60</v>
      </c>
      <c r="G277" s="4">
        <v>0</v>
      </c>
      <c r="H277" s="4">
        <v>24.684</v>
      </c>
      <c r="I277" s="4"/>
      <c r="J277" s="4">
        <f>H277+I277</f>
        <v>24.684</v>
      </c>
    </row>
    <row r="278" spans="1:10" ht="12" customHeight="1" hidden="1">
      <c r="A278" s="456"/>
      <c r="B278" s="340" t="s">
        <v>4</v>
      </c>
      <c r="C278" s="312" t="s">
        <v>320</v>
      </c>
      <c r="D278" s="318" t="s">
        <v>2</v>
      </c>
      <c r="E278" s="318" t="s">
        <v>2</v>
      </c>
      <c r="F278" s="319" t="s">
        <v>321</v>
      </c>
      <c r="G278" s="295">
        <f>SUM(G279:G281)</f>
        <v>0</v>
      </c>
      <c r="H278" s="105">
        <f>SUM(H279:H281)</f>
        <v>475.373</v>
      </c>
      <c r="I278" s="295">
        <f>SUM(I279:I281)</f>
        <v>0</v>
      </c>
      <c r="J278" s="295">
        <f>SUM(J279:J281)</f>
        <v>475.373</v>
      </c>
    </row>
    <row r="279" spans="1:10" ht="12" customHeight="1" hidden="1">
      <c r="A279" s="456"/>
      <c r="B279" s="320"/>
      <c r="C279" s="321"/>
      <c r="D279" s="309">
        <v>2212</v>
      </c>
      <c r="E279" s="344">
        <v>5169</v>
      </c>
      <c r="F279" s="272" t="s">
        <v>60</v>
      </c>
      <c r="G279" s="7">
        <v>0</v>
      </c>
      <c r="H279" s="7">
        <v>4.356</v>
      </c>
      <c r="I279" s="7"/>
      <c r="J279" s="7">
        <f>H279+I279</f>
        <v>4.356</v>
      </c>
    </row>
    <row r="280" spans="1:10" ht="12" customHeight="1" hidden="1">
      <c r="A280" s="456"/>
      <c r="B280" s="320"/>
      <c r="C280" s="352" t="s">
        <v>200</v>
      </c>
      <c r="D280" s="309">
        <v>2212</v>
      </c>
      <c r="E280" s="344">
        <v>5169</v>
      </c>
      <c r="F280" s="272" t="s">
        <v>60</v>
      </c>
      <c r="G280" s="7">
        <v>0</v>
      </c>
      <c r="H280" s="7">
        <f>24.684+11.798+8.47</f>
        <v>44.952</v>
      </c>
      <c r="I280" s="7"/>
      <c r="J280" s="7">
        <f>H280+I280</f>
        <v>44.952</v>
      </c>
    </row>
    <row r="281" spans="1:10" ht="12" customHeight="1" hidden="1" thickBot="1">
      <c r="A281" s="456"/>
      <c r="B281" s="320"/>
      <c r="C281" s="321"/>
      <c r="D281" s="309">
        <v>2212</v>
      </c>
      <c r="E281" s="344">
        <v>5171</v>
      </c>
      <c r="F281" s="345" t="s">
        <v>203</v>
      </c>
      <c r="G281" s="7">
        <v>0</v>
      </c>
      <c r="H281" s="4">
        <v>426.065</v>
      </c>
      <c r="I281" s="4"/>
      <c r="J281" s="7">
        <f>H281+I281</f>
        <v>426.065</v>
      </c>
    </row>
    <row r="282" spans="1:10" ht="12" customHeight="1" hidden="1">
      <c r="A282" s="456"/>
      <c r="B282" s="340" t="s">
        <v>4</v>
      </c>
      <c r="C282" s="312" t="s">
        <v>322</v>
      </c>
      <c r="D282" s="318" t="s">
        <v>2</v>
      </c>
      <c r="E282" s="318" t="s">
        <v>2</v>
      </c>
      <c r="F282" s="319" t="s">
        <v>323</v>
      </c>
      <c r="G282" s="295">
        <f>SUM(G283:G285)</f>
        <v>0</v>
      </c>
      <c r="H282" s="105">
        <f>SUM(H283:H285)</f>
        <v>387.753</v>
      </c>
      <c r="I282" s="295">
        <f>SUM(I283:I285)</f>
        <v>0</v>
      </c>
      <c r="J282" s="295">
        <f>SUM(J283:J285)</f>
        <v>387.753</v>
      </c>
    </row>
    <row r="283" spans="1:10" ht="12" customHeight="1" hidden="1">
      <c r="A283" s="456"/>
      <c r="B283" s="320"/>
      <c r="C283" s="321"/>
      <c r="D283" s="309">
        <v>2212</v>
      </c>
      <c r="E283" s="344">
        <v>5169</v>
      </c>
      <c r="F283" s="272" t="s">
        <v>60</v>
      </c>
      <c r="G283" s="7">
        <v>0</v>
      </c>
      <c r="H283" s="7">
        <v>4.356</v>
      </c>
      <c r="I283" s="7"/>
      <c r="J283" s="7">
        <f>H283+I283</f>
        <v>4.356</v>
      </c>
    </row>
    <row r="284" spans="1:10" ht="12" customHeight="1" hidden="1">
      <c r="A284" s="456"/>
      <c r="B284" s="320"/>
      <c r="C284" s="352" t="s">
        <v>200</v>
      </c>
      <c r="D284" s="309">
        <v>2212</v>
      </c>
      <c r="E284" s="344">
        <v>5169</v>
      </c>
      <c r="F284" s="272" t="s">
        <v>60</v>
      </c>
      <c r="G284" s="7">
        <v>0</v>
      </c>
      <c r="H284" s="7">
        <f>24.684+23.595+16.94</f>
        <v>65.219</v>
      </c>
      <c r="I284" s="7"/>
      <c r="J284" s="7">
        <f>H284+I284</f>
        <v>65.219</v>
      </c>
    </row>
    <row r="285" spans="1:10" ht="12" customHeight="1" hidden="1" thickBot="1">
      <c r="A285" s="456"/>
      <c r="B285" s="347"/>
      <c r="C285" s="348" t="s">
        <v>200</v>
      </c>
      <c r="D285" s="308">
        <v>2212</v>
      </c>
      <c r="E285" s="349">
        <v>5171</v>
      </c>
      <c r="F285" s="350" t="s">
        <v>203</v>
      </c>
      <c r="G285" s="5">
        <v>0</v>
      </c>
      <c r="H285" s="4">
        <v>318.178</v>
      </c>
      <c r="I285" s="4"/>
      <c r="J285" s="5">
        <f>H285+I285</f>
        <v>318.178</v>
      </c>
    </row>
    <row r="286" spans="1:10" ht="12" customHeight="1" hidden="1">
      <c r="A286" s="456"/>
      <c r="B286" s="340" t="s">
        <v>4</v>
      </c>
      <c r="C286" s="312" t="s">
        <v>324</v>
      </c>
      <c r="D286" s="318" t="s">
        <v>2</v>
      </c>
      <c r="E286" s="318" t="s">
        <v>2</v>
      </c>
      <c r="F286" s="319" t="s">
        <v>325</v>
      </c>
      <c r="G286" s="295">
        <f>SUM(G287:G289)</f>
        <v>0</v>
      </c>
      <c r="H286" s="105">
        <f>SUM(H287:H289)</f>
        <v>1320.8</v>
      </c>
      <c r="I286" s="295">
        <f>SUM(I287:I289)</f>
        <v>0</v>
      </c>
      <c r="J286" s="295">
        <f>SUM(J287:J289)</f>
        <v>1320.8</v>
      </c>
    </row>
    <row r="287" spans="1:10" ht="12" customHeight="1" hidden="1">
      <c r="A287" s="456"/>
      <c r="B287" s="320"/>
      <c r="C287" s="321"/>
      <c r="D287" s="309">
        <v>2212</v>
      </c>
      <c r="E287" s="344">
        <v>5169</v>
      </c>
      <c r="F287" s="272" t="s">
        <v>60</v>
      </c>
      <c r="G287" s="7">
        <v>0</v>
      </c>
      <c r="H287" s="7">
        <v>4.356</v>
      </c>
      <c r="I287" s="7"/>
      <c r="J287" s="7">
        <f>H287+I287</f>
        <v>4.356</v>
      </c>
    </row>
    <row r="288" spans="1:10" ht="12" customHeight="1" hidden="1">
      <c r="A288" s="456"/>
      <c r="B288" s="320"/>
      <c r="C288" s="352" t="s">
        <v>200</v>
      </c>
      <c r="D288" s="309">
        <v>2212</v>
      </c>
      <c r="E288" s="344">
        <v>5169</v>
      </c>
      <c r="F288" s="272" t="s">
        <v>60</v>
      </c>
      <c r="G288" s="7">
        <v>0</v>
      </c>
      <c r="H288" s="7">
        <f>24.684+69.696+31.46</f>
        <v>125.84</v>
      </c>
      <c r="I288" s="7"/>
      <c r="J288" s="7">
        <f>H288+I288</f>
        <v>125.84</v>
      </c>
    </row>
    <row r="289" spans="1:10" ht="12" customHeight="1" hidden="1" thickBot="1">
      <c r="A289" s="456"/>
      <c r="B289" s="347"/>
      <c r="C289" s="348" t="s">
        <v>200</v>
      </c>
      <c r="D289" s="308">
        <v>2212</v>
      </c>
      <c r="E289" s="349">
        <v>5171</v>
      </c>
      <c r="F289" s="350" t="s">
        <v>203</v>
      </c>
      <c r="G289" s="5">
        <v>0</v>
      </c>
      <c r="H289" s="4">
        <v>1190.604</v>
      </c>
      <c r="I289" s="4"/>
      <c r="J289" s="5">
        <f>H289+I289</f>
        <v>1190.604</v>
      </c>
    </row>
    <row r="290" spans="1:10" ht="12" customHeight="1" hidden="1">
      <c r="A290" s="456"/>
      <c r="B290" s="340" t="s">
        <v>4</v>
      </c>
      <c r="C290" s="312" t="s">
        <v>326</v>
      </c>
      <c r="D290" s="318" t="s">
        <v>2</v>
      </c>
      <c r="E290" s="318" t="s">
        <v>2</v>
      </c>
      <c r="F290" s="319" t="s">
        <v>327</v>
      </c>
      <c r="G290" s="295">
        <f>SUM(G291:G293)</f>
        <v>0</v>
      </c>
      <c r="H290" s="105">
        <f>SUM(H291:H293)</f>
        <v>1546.287</v>
      </c>
      <c r="I290" s="295">
        <f>SUM(I291:I293)</f>
        <v>0</v>
      </c>
      <c r="J290" s="295">
        <f>SUM(J291:J293)</f>
        <v>1546.287</v>
      </c>
    </row>
    <row r="291" spans="1:10" ht="12" customHeight="1" hidden="1">
      <c r="A291" s="456"/>
      <c r="B291" s="320"/>
      <c r="C291" s="321"/>
      <c r="D291" s="309">
        <v>2212</v>
      </c>
      <c r="E291" s="344">
        <v>5169</v>
      </c>
      <c r="F291" s="272" t="s">
        <v>60</v>
      </c>
      <c r="G291" s="7">
        <v>0</v>
      </c>
      <c r="H291" s="7">
        <v>4.356</v>
      </c>
      <c r="I291" s="7"/>
      <c r="J291" s="7">
        <f>H291+I291</f>
        <v>4.356</v>
      </c>
    </row>
    <row r="292" spans="1:10" ht="12" customHeight="1" hidden="1">
      <c r="A292" s="456"/>
      <c r="B292" s="320"/>
      <c r="C292" s="352" t="s">
        <v>200</v>
      </c>
      <c r="D292" s="309">
        <v>2212</v>
      </c>
      <c r="E292" s="344">
        <v>5169</v>
      </c>
      <c r="F292" s="272" t="s">
        <v>60</v>
      </c>
      <c r="G292" s="7">
        <v>0</v>
      </c>
      <c r="H292" s="7">
        <f>24.684+19.602+13.915</f>
        <v>58.201</v>
      </c>
      <c r="I292" s="7"/>
      <c r="J292" s="7">
        <f>H292+I292</f>
        <v>58.201</v>
      </c>
    </row>
    <row r="293" spans="1:10" ht="12" customHeight="1" hidden="1" thickBot="1">
      <c r="A293" s="456"/>
      <c r="B293" s="347"/>
      <c r="C293" s="348" t="s">
        <v>200</v>
      </c>
      <c r="D293" s="308">
        <v>2212</v>
      </c>
      <c r="E293" s="349">
        <v>5171</v>
      </c>
      <c r="F293" s="350" t="s">
        <v>203</v>
      </c>
      <c r="G293" s="5">
        <v>0</v>
      </c>
      <c r="H293" s="4">
        <v>1483.73</v>
      </c>
      <c r="I293" s="4"/>
      <c r="J293" s="5">
        <f>H293+I293</f>
        <v>1483.73</v>
      </c>
    </row>
    <row r="294" spans="1:10" ht="12" customHeight="1" hidden="1">
      <c r="A294" s="456"/>
      <c r="B294" s="340" t="s">
        <v>4</v>
      </c>
      <c r="C294" s="312" t="s">
        <v>328</v>
      </c>
      <c r="D294" s="318" t="s">
        <v>2</v>
      </c>
      <c r="E294" s="318" t="s">
        <v>2</v>
      </c>
      <c r="F294" s="319" t="s">
        <v>329</v>
      </c>
      <c r="G294" s="295">
        <f>SUM(G295:G297)</f>
        <v>0</v>
      </c>
      <c r="H294" s="105">
        <f>SUM(H295:H297)</f>
        <v>586.077</v>
      </c>
      <c r="I294" s="295">
        <f>SUM(I295:I297)</f>
        <v>0</v>
      </c>
      <c r="J294" s="295">
        <f>SUM(J295:J297)</f>
        <v>586.077</v>
      </c>
    </row>
    <row r="295" spans="1:10" ht="12" customHeight="1" hidden="1">
      <c r="A295" s="456"/>
      <c r="B295" s="320"/>
      <c r="C295" s="321"/>
      <c r="D295" s="309">
        <v>2212</v>
      </c>
      <c r="E295" s="344">
        <v>5169</v>
      </c>
      <c r="F295" s="272" t="s">
        <v>60</v>
      </c>
      <c r="G295" s="7">
        <v>0</v>
      </c>
      <c r="H295" s="7">
        <v>4.356</v>
      </c>
      <c r="I295" s="7"/>
      <c r="J295" s="7">
        <f>H295+I295</f>
        <v>4.356</v>
      </c>
    </row>
    <row r="296" spans="1:10" ht="12" customHeight="1" hidden="1">
      <c r="A296" s="456"/>
      <c r="B296" s="320"/>
      <c r="C296" s="352" t="s">
        <v>200</v>
      </c>
      <c r="D296" s="309">
        <v>2212</v>
      </c>
      <c r="E296" s="344">
        <v>5169</v>
      </c>
      <c r="F296" s="272" t="s">
        <v>60</v>
      </c>
      <c r="G296" s="7">
        <v>0</v>
      </c>
      <c r="H296" s="7">
        <f>24.684+19.602+13.915</f>
        <v>58.201</v>
      </c>
      <c r="I296" s="7"/>
      <c r="J296" s="7">
        <f>H296+I296</f>
        <v>58.201</v>
      </c>
    </row>
    <row r="297" spans="1:10" ht="12" customHeight="1" hidden="1" thickBot="1">
      <c r="A297" s="456"/>
      <c r="B297" s="347"/>
      <c r="C297" s="348" t="s">
        <v>200</v>
      </c>
      <c r="D297" s="308">
        <v>2212</v>
      </c>
      <c r="E297" s="349">
        <v>5171</v>
      </c>
      <c r="F297" s="350" t="s">
        <v>203</v>
      </c>
      <c r="G297" s="5">
        <v>0</v>
      </c>
      <c r="H297" s="106">
        <v>523.52</v>
      </c>
      <c r="I297" s="4"/>
      <c r="J297" s="5">
        <f>H297+I297</f>
        <v>523.52</v>
      </c>
    </row>
    <row r="298" spans="1:10" ht="12" customHeight="1" hidden="1">
      <c r="A298" s="456"/>
      <c r="B298" s="340" t="s">
        <v>4</v>
      </c>
      <c r="C298" s="312" t="s">
        <v>330</v>
      </c>
      <c r="D298" s="318" t="s">
        <v>2</v>
      </c>
      <c r="E298" s="318" t="s">
        <v>2</v>
      </c>
      <c r="F298" s="319" t="s">
        <v>331</v>
      </c>
      <c r="G298" s="295">
        <f>SUM(G299:G301)</f>
        <v>0</v>
      </c>
      <c r="H298" s="105">
        <f>SUM(H299:H301)</f>
        <v>3485.017</v>
      </c>
      <c r="I298" s="295">
        <f>SUM(I299:I301)</f>
        <v>0</v>
      </c>
      <c r="J298" s="295">
        <f>SUM(J299:J301)</f>
        <v>3485.017</v>
      </c>
    </row>
    <row r="299" spans="1:10" ht="12" customHeight="1" hidden="1">
      <c r="A299" s="456"/>
      <c r="B299" s="320"/>
      <c r="C299" s="321"/>
      <c r="D299" s="309">
        <v>2212</v>
      </c>
      <c r="E299" s="344">
        <v>5169</v>
      </c>
      <c r="F299" s="272" t="s">
        <v>60</v>
      </c>
      <c r="G299" s="7">
        <v>0</v>
      </c>
      <c r="H299" s="7">
        <v>4.356</v>
      </c>
      <c r="I299" s="7"/>
      <c r="J299" s="7">
        <f>H299+I299</f>
        <v>4.356</v>
      </c>
    </row>
    <row r="300" spans="1:10" ht="12" customHeight="1" hidden="1">
      <c r="A300" s="456"/>
      <c r="B300" s="320"/>
      <c r="C300" s="352" t="s">
        <v>200</v>
      </c>
      <c r="D300" s="309">
        <v>2212</v>
      </c>
      <c r="E300" s="344">
        <v>5169</v>
      </c>
      <c r="F300" s="272" t="s">
        <v>60</v>
      </c>
      <c r="G300" s="7">
        <v>0</v>
      </c>
      <c r="H300" s="7">
        <f>24.684+47.722+42.35</f>
        <v>114.756</v>
      </c>
      <c r="I300" s="7"/>
      <c r="J300" s="7">
        <f>H300+I300</f>
        <v>114.756</v>
      </c>
    </row>
    <row r="301" spans="1:10" ht="12" customHeight="1" hidden="1" thickBot="1">
      <c r="A301" s="456"/>
      <c r="B301" s="347"/>
      <c r="C301" s="325"/>
      <c r="D301" s="308">
        <v>2212</v>
      </c>
      <c r="E301" s="349">
        <v>5171</v>
      </c>
      <c r="F301" s="350" t="s">
        <v>203</v>
      </c>
      <c r="G301" s="5">
        <v>0</v>
      </c>
      <c r="H301" s="4">
        <f>2513.988+851.917</f>
        <v>3365.9049999999997</v>
      </c>
      <c r="I301" s="7"/>
      <c r="J301" s="5">
        <f>H301+I301</f>
        <v>3365.9049999999997</v>
      </c>
    </row>
    <row r="302" spans="1:10" ht="12" customHeight="1" hidden="1">
      <c r="A302" s="456"/>
      <c r="B302" s="340" t="s">
        <v>4</v>
      </c>
      <c r="C302" s="312" t="s">
        <v>332</v>
      </c>
      <c r="D302" s="318" t="s">
        <v>2</v>
      </c>
      <c r="E302" s="318" t="s">
        <v>2</v>
      </c>
      <c r="F302" s="319" t="s">
        <v>333</v>
      </c>
      <c r="G302" s="295">
        <f>SUM(G303:G304)</f>
        <v>0</v>
      </c>
      <c r="H302" s="105">
        <f>SUM(H303:H304)</f>
        <v>29.04</v>
      </c>
      <c r="I302" s="295">
        <f>SUM(I303:I304)</f>
        <v>0</v>
      </c>
      <c r="J302" s="295">
        <f>SUM(J303:J304)</f>
        <v>29.04</v>
      </c>
    </row>
    <row r="303" spans="1:10" ht="12" customHeight="1" hidden="1">
      <c r="A303" s="456"/>
      <c r="B303" s="320"/>
      <c r="C303" s="321"/>
      <c r="D303" s="309">
        <v>2212</v>
      </c>
      <c r="E303" s="344">
        <v>5169</v>
      </c>
      <c r="F303" s="272" t="s">
        <v>60</v>
      </c>
      <c r="G303" s="7">
        <v>0</v>
      </c>
      <c r="H303" s="7">
        <v>4.356</v>
      </c>
      <c r="I303" s="7"/>
      <c r="J303" s="7">
        <f>H303+I303</f>
        <v>4.356</v>
      </c>
    </row>
    <row r="304" spans="1:10" ht="12" customHeight="1" hidden="1" thickBot="1">
      <c r="A304" s="456"/>
      <c r="B304" s="330"/>
      <c r="C304" s="366" t="s">
        <v>200</v>
      </c>
      <c r="D304" s="309">
        <v>2212</v>
      </c>
      <c r="E304" s="344">
        <v>5169</v>
      </c>
      <c r="F304" s="272" t="s">
        <v>60</v>
      </c>
      <c r="G304" s="6">
        <v>0</v>
      </c>
      <c r="H304" s="4">
        <v>24.684</v>
      </c>
      <c r="I304" s="4"/>
      <c r="J304" s="7">
        <f>H304+I304</f>
        <v>24.684</v>
      </c>
    </row>
    <row r="305" spans="1:10" ht="12" customHeight="1" hidden="1">
      <c r="A305" s="456"/>
      <c r="B305" s="340" t="s">
        <v>4</v>
      </c>
      <c r="C305" s="312" t="s">
        <v>334</v>
      </c>
      <c r="D305" s="318" t="s">
        <v>2</v>
      </c>
      <c r="E305" s="318" t="s">
        <v>2</v>
      </c>
      <c r="F305" s="319" t="s">
        <v>335</v>
      </c>
      <c r="G305" s="295">
        <f>SUM(G306:G308)</f>
        <v>0</v>
      </c>
      <c r="H305" s="105">
        <f>SUM(H306:H308)</f>
        <v>743.0550000000001</v>
      </c>
      <c r="I305" s="295">
        <f>SUM(I306:I308)</f>
        <v>0</v>
      </c>
      <c r="J305" s="295">
        <f>SUM(J306:J308)</f>
        <v>743.0550000000001</v>
      </c>
    </row>
    <row r="306" spans="1:10" ht="12" customHeight="1" hidden="1">
      <c r="A306" s="456"/>
      <c r="B306" s="320"/>
      <c r="C306" s="321"/>
      <c r="D306" s="309">
        <v>2212</v>
      </c>
      <c r="E306" s="344">
        <v>5169</v>
      </c>
      <c r="F306" s="272" t="s">
        <v>60</v>
      </c>
      <c r="G306" s="7">
        <v>0</v>
      </c>
      <c r="H306" s="7">
        <v>4.356</v>
      </c>
      <c r="I306" s="7"/>
      <c r="J306" s="7">
        <f>H306+I306</f>
        <v>4.356</v>
      </c>
    </row>
    <row r="307" spans="1:10" ht="12" customHeight="1" hidden="1">
      <c r="A307" s="456"/>
      <c r="B307" s="320"/>
      <c r="C307" s="373" t="s">
        <v>200</v>
      </c>
      <c r="D307" s="309">
        <v>2212</v>
      </c>
      <c r="E307" s="344">
        <v>5169</v>
      </c>
      <c r="F307" s="272" t="s">
        <v>60</v>
      </c>
      <c r="G307" s="16">
        <v>0</v>
      </c>
      <c r="H307" s="7">
        <f>24.684+23.595+16.94</f>
        <v>65.219</v>
      </c>
      <c r="I307" s="7"/>
      <c r="J307" s="7">
        <f>H307+I307</f>
        <v>65.219</v>
      </c>
    </row>
    <row r="308" spans="1:10" ht="12" customHeight="1" hidden="1" thickBot="1">
      <c r="A308" s="456"/>
      <c r="B308" s="347"/>
      <c r="C308" s="348" t="s">
        <v>200</v>
      </c>
      <c r="D308" s="308">
        <v>2212</v>
      </c>
      <c r="E308" s="349">
        <v>5171</v>
      </c>
      <c r="F308" s="350" t="s">
        <v>203</v>
      </c>
      <c r="G308" s="5">
        <v>0</v>
      </c>
      <c r="H308" s="108">
        <v>673.48</v>
      </c>
      <c r="I308" s="4"/>
      <c r="J308" s="5">
        <f>H308+I308</f>
        <v>673.48</v>
      </c>
    </row>
    <row r="309" spans="1:10" ht="12" customHeight="1" hidden="1">
      <c r="A309" s="456"/>
      <c r="B309" s="340" t="s">
        <v>4</v>
      </c>
      <c r="C309" s="312" t="s">
        <v>336</v>
      </c>
      <c r="D309" s="318" t="s">
        <v>2</v>
      </c>
      <c r="E309" s="318" t="s">
        <v>2</v>
      </c>
      <c r="F309" s="319" t="s">
        <v>337</v>
      </c>
      <c r="G309" s="295">
        <f>SUM(G310:G311)</f>
        <v>0</v>
      </c>
      <c r="H309" s="105">
        <f>SUM(H310:H311)</f>
        <v>29.04</v>
      </c>
      <c r="I309" s="295">
        <f>SUM(I310:I311)</f>
        <v>0</v>
      </c>
      <c r="J309" s="295">
        <f>SUM(J310:J311)</f>
        <v>29.04</v>
      </c>
    </row>
    <row r="310" spans="1:10" ht="12" customHeight="1" hidden="1">
      <c r="A310" s="456"/>
      <c r="B310" s="320"/>
      <c r="C310" s="321"/>
      <c r="D310" s="309">
        <v>2212</v>
      </c>
      <c r="E310" s="344">
        <v>5169</v>
      </c>
      <c r="F310" s="272" t="s">
        <v>60</v>
      </c>
      <c r="G310" s="7">
        <v>0</v>
      </c>
      <c r="H310" s="7">
        <v>4.356</v>
      </c>
      <c r="I310" s="7"/>
      <c r="J310" s="7">
        <f>H310+I310</f>
        <v>4.356</v>
      </c>
    </row>
    <row r="311" spans="1:10" ht="12" customHeight="1" hidden="1" thickBot="1">
      <c r="A311" s="456"/>
      <c r="B311" s="330"/>
      <c r="C311" s="366" t="s">
        <v>200</v>
      </c>
      <c r="D311" s="309">
        <v>2212</v>
      </c>
      <c r="E311" s="344">
        <v>5169</v>
      </c>
      <c r="F311" s="272" t="s">
        <v>60</v>
      </c>
      <c r="G311" s="6">
        <v>0</v>
      </c>
      <c r="H311" s="4">
        <v>24.684</v>
      </c>
      <c r="I311" s="4"/>
      <c r="J311" s="7">
        <f>H311+I311</f>
        <v>24.684</v>
      </c>
    </row>
    <row r="312" spans="1:10" ht="12" customHeight="1" hidden="1">
      <c r="A312" s="456"/>
      <c r="B312" s="340" t="s">
        <v>4</v>
      </c>
      <c r="C312" s="312" t="s">
        <v>338</v>
      </c>
      <c r="D312" s="318" t="s">
        <v>2</v>
      </c>
      <c r="E312" s="318" t="s">
        <v>2</v>
      </c>
      <c r="F312" s="319" t="s">
        <v>339</v>
      </c>
      <c r="G312" s="295">
        <f>SUM(G313:G315)</f>
        <v>0</v>
      </c>
      <c r="H312" s="105">
        <f>SUM(H313:H315)</f>
        <v>1510.55</v>
      </c>
      <c r="I312" s="295">
        <f>SUM(I313:I315)</f>
        <v>0</v>
      </c>
      <c r="J312" s="295">
        <f>SUM(J313:J315)</f>
        <v>1510.55</v>
      </c>
    </row>
    <row r="313" spans="1:10" ht="12" customHeight="1" hidden="1">
      <c r="A313" s="456"/>
      <c r="B313" s="320"/>
      <c r="C313" s="321"/>
      <c r="D313" s="309">
        <v>2212</v>
      </c>
      <c r="E313" s="344">
        <v>5169</v>
      </c>
      <c r="F313" s="272" t="s">
        <v>60</v>
      </c>
      <c r="G313" s="7">
        <v>0</v>
      </c>
      <c r="H313" s="7">
        <v>4.356</v>
      </c>
      <c r="I313" s="7"/>
      <c r="J313" s="7">
        <f>H313+I313</f>
        <v>4.356</v>
      </c>
    </row>
    <row r="314" spans="1:10" ht="12" customHeight="1" hidden="1">
      <c r="A314" s="456"/>
      <c r="B314" s="371"/>
      <c r="C314" s="352" t="s">
        <v>200</v>
      </c>
      <c r="D314" s="309">
        <v>2212</v>
      </c>
      <c r="E314" s="344">
        <v>5169</v>
      </c>
      <c r="F314" s="272" t="s">
        <v>60</v>
      </c>
      <c r="G314" s="7">
        <v>0</v>
      </c>
      <c r="H314" s="7">
        <f>24.684+21.175+12.5</f>
        <v>58.359</v>
      </c>
      <c r="I314" s="7"/>
      <c r="J314" s="7">
        <f>H314+I314</f>
        <v>58.359</v>
      </c>
    </row>
    <row r="315" spans="1:10" ht="12" customHeight="1" hidden="1" thickBot="1">
      <c r="A315" s="456"/>
      <c r="B315" s="347"/>
      <c r="C315" s="348" t="s">
        <v>200</v>
      </c>
      <c r="D315" s="308">
        <v>2212</v>
      </c>
      <c r="E315" s="349">
        <v>5171</v>
      </c>
      <c r="F315" s="350" t="s">
        <v>203</v>
      </c>
      <c r="G315" s="5">
        <v>0</v>
      </c>
      <c r="H315" s="4">
        <v>1447.835</v>
      </c>
      <c r="I315" s="16"/>
      <c r="J315" s="5">
        <f>H315+I315</f>
        <v>1447.835</v>
      </c>
    </row>
    <row r="316" spans="1:10" ht="12" customHeight="1" hidden="1">
      <c r="A316" s="456"/>
      <c r="B316" s="340" t="s">
        <v>4</v>
      </c>
      <c r="C316" s="312" t="s">
        <v>340</v>
      </c>
      <c r="D316" s="318" t="s">
        <v>2</v>
      </c>
      <c r="E316" s="318" t="s">
        <v>2</v>
      </c>
      <c r="F316" s="319" t="s">
        <v>341</v>
      </c>
      <c r="G316" s="295">
        <f>SUM(G317:G319)</f>
        <v>0</v>
      </c>
      <c r="H316" s="105">
        <f>SUM(H317:H319)</f>
        <v>993.13</v>
      </c>
      <c r="I316" s="295">
        <f>SUM(I317:I319)</f>
        <v>0</v>
      </c>
      <c r="J316" s="295">
        <f>SUM(J317:J319)</f>
        <v>993.13</v>
      </c>
    </row>
    <row r="317" spans="1:10" ht="12" customHeight="1" hidden="1">
      <c r="A317" s="456"/>
      <c r="B317" s="320"/>
      <c r="C317" s="321"/>
      <c r="D317" s="309">
        <v>2212</v>
      </c>
      <c r="E317" s="344">
        <v>5169</v>
      </c>
      <c r="F317" s="272" t="s">
        <v>60</v>
      </c>
      <c r="G317" s="7">
        <v>0</v>
      </c>
      <c r="H317" s="7">
        <v>4.356</v>
      </c>
      <c r="I317" s="7"/>
      <c r="J317" s="7">
        <f>H317+I317</f>
        <v>4.356</v>
      </c>
    </row>
    <row r="318" spans="1:10" ht="12" customHeight="1" hidden="1">
      <c r="A318" s="456"/>
      <c r="B318" s="371"/>
      <c r="C318" s="352" t="s">
        <v>200</v>
      </c>
      <c r="D318" s="309">
        <v>2212</v>
      </c>
      <c r="E318" s="344">
        <v>5169</v>
      </c>
      <c r="F318" s="272" t="s">
        <v>60</v>
      </c>
      <c r="G318" s="7">
        <v>0</v>
      </c>
      <c r="H318" s="7">
        <f>24.684+21.175+12.5</f>
        <v>58.359</v>
      </c>
      <c r="I318" s="7"/>
      <c r="J318" s="7">
        <f>H318+I318</f>
        <v>58.359</v>
      </c>
    </row>
    <row r="319" spans="1:10" ht="12" customHeight="1" hidden="1" thickBot="1">
      <c r="A319" s="456"/>
      <c r="B319" s="359"/>
      <c r="C319" s="360" t="s">
        <v>200</v>
      </c>
      <c r="D319" s="299">
        <v>2212</v>
      </c>
      <c r="E319" s="361">
        <v>5171</v>
      </c>
      <c r="F319" s="314" t="s">
        <v>203</v>
      </c>
      <c r="G319" s="4">
        <v>0</v>
      </c>
      <c r="H319" s="4">
        <v>930.415</v>
      </c>
      <c r="I319" s="4"/>
      <c r="J319" s="5">
        <f>H319+I319</f>
        <v>930.415</v>
      </c>
    </row>
    <row r="320" spans="1:10" ht="12" customHeight="1" hidden="1">
      <c r="A320" s="456"/>
      <c r="B320" s="340" t="s">
        <v>4</v>
      </c>
      <c r="C320" s="312" t="s">
        <v>342</v>
      </c>
      <c r="D320" s="318" t="s">
        <v>2</v>
      </c>
      <c r="E320" s="318" t="s">
        <v>2</v>
      </c>
      <c r="F320" s="319" t="s">
        <v>343</v>
      </c>
      <c r="G320" s="295">
        <f>SUM(G321:G323)</f>
        <v>0</v>
      </c>
      <c r="H320" s="105">
        <f>SUM(H321:H323)</f>
        <v>916.0169999999999</v>
      </c>
      <c r="I320" s="295">
        <f>SUM(I321:I323)</f>
        <v>0</v>
      </c>
      <c r="J320" s="295">
        <f>SUM(J321:J323)</f>
        <v>916.0169999999999</v>
      </c>
    </row>
    <row r="321" spans="1:10" ht="12" customHeight="1" hidden="1">
      <c r="A321" s="456"/>
      <c r="B321" s="320"/>
      <c r="C321" s="321"/>
      <c r="D321" s="309">
        <v>2212</v>
      </c>
      <c r="E321" s="344">
        <v>5169</v>
      </c>
      <c r="F321" s="272" t="s">
        <v>60</v>
      </c>
      <c r="G321" s="7">
        <v>0</v>
      </c>
      <c r="H321" s="7">
        <v>4.356</v>
      </c>
      <c r="I321" s="7"/>
      <c r="J321" s="7">
        <f>H321+I321</f>
        <v>4.356</v>
      </c>
    </row>
    <row r="322" spans="1:10" ht="12" customHeight="1" hidden="1">
      <c r="A322" s="456"/>
      <c r="B322" s="320"/>
      <c r="C322" s="352" t="s">
        <v>200</v>
      </c>
      <c r="D322" s="309">
        <v>2212</v>
      </c>
      <c r="E322" s="344">
        <v>5169</v>
      </c>
      <c r="F322" s="272" t="s">
        <v>60</v>
      </c>
      <c r="G322" s="7">
        <v>0</v>
      </c>
      <c r="H322" s="7">
        <f>24.684+31.992+37.268</f>
        <v>93.944</v>
      </c>
      <c r="I322" s="7"/>
      <c r="J322" s="7">
        <f>H322+I322</f>
        <v>93.944</v>
      </c>
    </row>
    <row r="323" spans="1:10" ht="12" customHeight="1" hidden="1" thickBot="1">
      <c r="A323" s="456"/>
      <c r="B323" s="359"/>
      <c r="C323" s="375"/>
      <c r="D323" s="299">
        <v>2212</v>
      </c>
      <c r="E323" s="361">
        <v>5171</v>
      </c>
      <c r="F323" s="314" t="s">
        <v>203</v>
      </c>
      <c r="G323" s="4">
        <v>0</v>
      </c>
      <c r="H323" s="4">
        <v>817.717</v>
      </c>
      <c r="I323" s="4"/>
      <c r="J323" s="4">
        <f>H323+I323</f>
        <v>817.717</v>
      </c>
    </row>
    <row r="324" spans="1:10" ht="12" customHeight="1" hidden="1">
      <c r="A324" s="456"/>
      <c r="B324" s="340" t="s">
        <v>4</v>
      </c>
      <c r="C324" s="312" t="s">
        <v>344</v>
      </c>
      <c r="D324" s="318" t="s">
        <v>2</v>
      </c>
      <c r="E324" s="318" t="s">
        <v>2</v>
      </c>
      <c r="F324" s="319" t="s">
        <v>345</v>
      </c>
      <c r="G324" s="295">
        <f>SUM(G325:G327)</f>
        <v>0</v>
      </c>
      <c r="H324" s="105">
        <f>SUM(H325:H327)</f>
        <v>2032.162</v>
      </c>
      <c r="I324" s="295">
        <f>SUM(I325:I327)</f>
        <v>0</v>
      </c>
      <c r="J324" s="295">
        <f>SUM(J325:J327)</f>
        <v>2032.162</v>
      </c>
    </row>
    <row r="325" spans="1:10" ht="12" customHeight="1" hidden="1">
      <c r="A325" s="456"/>
      <c r="B325" s="320"/>
      <c r="C325" s="321"/>
      <c r="D325" s="309">
        <v>2212</v>
      </c>
      <c r="E325" s="344">
        <v>5169</v>
      </c>
      <c r="F325" s="272" t="s">
        <v>60</v>
      </c>
      <c r="G325" s="7">
        <v>0</v>
      </c>
      <c r="H325" s="7">
        <v>4.356</v>
      </c>
      <c r="I325" s="7"/>
      <c r="J325" s="7">
        <f>H325+I325</f>
        <v>4.356</v>
      </c>
    </row>
    <row r="326" spans="1:10" ht="12" customHeight="1" hidden="1">
      <c r="A326" s="456"/>
      <c r="B326" s="320"/>
      <c r="C326" s="352" t="s">
        <v>200</v>
      </c>
      <c r="D326" s="309">
        <v>2212</v>
      </c>
      <c r="E326" s="344">
        <v>5169</v>
      </c>
      <c r="F326" s="272" t="s">
        <v>60</v>
      </c>
      <c r="G326" s="7">
        <v>0</v>
      </c>
      <c r="H326" s="7">
        <f>24.684+14.822+9.377</f>
        <v>48.883</v>
      </c>
      <c r="I326" s="7"/>
      <c r="J326" s="7">
        <f>H326+I326</f>
        <v>48.883</v>
      </c>
    </row>
    <row r="327" spans="1:10" ht="12" customHeight="1" hidden="1" thickBot="1">
      <c r="A327" s="456"/>
      <c r="B327" s="347"/>
      <c r="C327" s="348" t="s">
        <v>200</v>
      </c>
      <c r="D327" s="308">
        <v>2212</v>
      </c>
      <c r="E327" s="349">
        <v>5171</v>
      </c>
      <c r="F327" s="350" t="s">
        <v>203</v>
      </c>
      <c r="G327" s="5">
        <v>0</v>
      </c>
      <c r="H327" s="4">
        <f>3957.846/2</f>
        <v>1978.923</v>
      </c>
      <c r="I327" s="4"/>
      <c r="J327" s="5">
        <f>H327+I327</f>
        <v>1978.923</v>
      </c>
    </row>
    <row r="328" spans="1:10" ht="12" customHeight="1" hidden="1">
      <c r="A328" s="456"/>
      <c r="B328" s="340" t="s">
        <v>4</v>
      </c>
      <c r="C328" s="312" t="s">
        <v>346</v>
      </c>
      <c r="D328" s="318" t="s">
        <v>2</v>
      </c>
      <c r="E328" s="318" t="s">
        <v>2</v>
      </c>
      <c r="F328" s="319" t="s">
        <v>347</v>
      </c>
      <c r="G328" s="295">
        <f>SUM(G329:G331)</f>
        <v>0</v>
      </c>
      <c r="H328" s="105">
        <f>SUM(H329:H331)</f>
        <v>1501.533</v>
      </c>
      <c r="I328" s="295">
        <f>SUM(I329:I331)</f>
        <v>0</v>
      </c>
      <c r="J328" s="295">
        <f>SUM(J329:J331)</f>
        <v>1501.533</v>
      </c>
    </row>
    <row r="329" spans="1:10" ht="12" customHeight="1" hidden="1">
      <c r="A329" s="456"/>
      <c r="B329" s="320"/>
      <c r="C329" s="321"/>
      <c r="D329" s="309">
        <v>2212</v>
      </c>
      <c r="E329" s="344">
        <v>5169</v>
      </c>
      <c r="F329" s="272" t="s">
        <v>60</v>
      </c>
      <c r="G329" s="7">
        <v>0</v>
      </c>
      <c r="H329" s="7">
        <v>4.356</v>
      </c>
      <c r="I329" s="7"/>
      <c r="J329" s="7">
        <f>H329+I329</f>
        <v>4.356</v>
      </c>
    </row>
    <row r="330" spans="1:10" ht="12" customHeight="1" hidden="1">
      <c r="A330" s="456"/>
      <c r="B330" s="320"/>
      <c r="C330" s="352" t="s">
        <v>200</v>
      </c>
      <c r="D330" s="309">
        <v>2212</v>
      </c>
      <c r="E330" s="344">
        <v>5169</v>
      </c>
      <c r="F330" s="272" t="s">
        <v>60</v>
      </c>
      <c r="G330" s="7">
        <v>0</v>
      </c>
      <c r="H330" s="7">
        <v>24.684</v>
      </c>
      <c r="I330" s="7"/>
      <c r="J330" s="7">
        <f>H330+I330</f>
        <v>24.684</v>
      </c>
    </row>
    <row r="331" spans="1:10" ht="12" customHeight="1" hidden="1" thickBot="1">
      <c r="A331" s="456"/>
      <c r="B331" s="347"/>
      <c r="C331" s="348" t="s">
        <v>200</v>
      </c>
      <c r="D331" s="308">
        <v>2212</v>
      </c>
      <c r="E331" s="349">
        <v>5171</v>
      </c>
      <c r="F331" s="350" t="s">
        <v>203</v>
      </c>
      <c r="G331" s="5">
        <v>0</v>
      </c>
      <c r="H331" s="4">
        <f>1102.234+370.259</f>
        <v>1472.493</v>
      </c>
      <c r="I331" s="7"/>
      <c r="J331" s="5">
        <f>H331+I331</f>
        <v>1472.493</v>
      </c>
    </row>
    <row r="332" spans="1:10" ht="12" customHeight="1" hidden="1">
      <c r="A332" s="456"/>
      <c r="B332" s="340" t="s">
        <v>4</v>
      </c>
      <c r="C332" s="312" t="s">
        <v>348</v>
      </c>
      <c r="D332" s="318" t="s">
        <v>2</v>
      </c>
      <c r="E332" s="318" t="s">
        <v>2</v>
      </c>
      <c r="F332" s="319" t="s">
        <v>349</v>
      </c>
      <c r="G332" s="295">
        <f>SUM(G333:G335)</f>
        <v>0</v>
      </c>
      <c r="H332" s="105">
        <f>SUM(H333:H335)</f>
        <v>1595.3609999999999</v>
      </c>
      <c r="I332" s="295">
        <f>SUM(I333:I335)</f>
        <v>0</v>
      </c>
      <c r="J332" s="295">
        <f>SUM(J333:J335)</f>
        <v>1595.3609999999999</v>
      </c>
    </row>
    <row r="333" spans="1:10" ht="12" customHeight="1" hidden="1">
      <c r="A333" s="456"/>
      <c r="B333" s="320"/>
      <c r="C333" s="321"/>
      <c r="D333" s="309">
        <v>2212</v>
      </c>
      <c r="E333" s="344">
        <v>5169</v>
      </c>
      <c r="F333" s="272" t="s">
        <v>60</v>
      </c>
      <c r="G333" s="7">
        <v>0</v>
      </c>
      <c r="H333" s="7">
        <v>4.356</v>
      </c>
      <c r="I333" s="7"/>
      <c r="J333" s="7">
        <f>H333+I333</f>
        <v>4.356</v>
      </c>
    </row>
    <row r="334" spans="1:10" ht="12" customHeight="1" hidden="1">
      <c r="A334" s="456"/>
      <c r="B334" s="371"/>
      <c r="C334" s="352" t="s">
        <v>200</v>
      </c>
      <c r="D334" s="309">
        <v>2212</v>
      </c>
      <c r="E334" s="344">
        <v>5169</v>
      </c>
      <c r="F334" s="272" t="s">
        <v>60</v>
      </c>
      <c r="G334" s="7">
        <v>0</v>
      </c>
      <c r="H334" s="7">
        <v>24.684</v>
      </c>
      <c r="I334" s="7"/>
      <c r="J334" s="7">
        <f>H334+I334</f>
        <v>24.684</v>
      </c>
    </row>
    <row r="335" spans="1:10" ht="12" customHeight="1" hidden="1" thickBot="1">
      <c r="A335" s="456"/>
      <c r="B335" s="374"/>
      <c r="C335" s="348" t="s">
        <v>200</v>
      </c>
      <c r="D335" s="308">
        <v>2212</v>
      </c>
      <c r="E335" s="349">
        <v>5171</v>
      </c>
      <c r="F335" s="350" t="s">
        <v>203</v>
      </c>
      <c r="G335" s="5">
        <v>0</v>
      </c>
      <c r="H335" s="4">
        <f>1284.812+281.509</f>
        <v>1566.321</v>
      </c>
      <c r="I335" s="4"/>
      <c r="J335" s="5">
        <f>H335+I335</f>
        <v>1566.321</v>
      </c>
    </row>
    <row r="336" spans="1:10" ht="12" customHeight="1" hidden="1">
      <c r="A336" s="456"/>
      <c r="B336" s="340" t="s">
        <v>4</v>
      </c>
      <c r="C336" s="312" t="s">
        <v>350</v>
      </c>
      <c r="D336" s="318" t="s">
        <v>2</v>
      </c>
      <c r="E336" s="318" t="s">
        <v>2</v>
      </c>
      <c r="F336" s="319" t="s">
        <v>351</v>
      </c>
      <c r="G336" s="295">
        <f>SUM(G337:G339)</f>
        <v>0</v>
      </c>
      <c r="H336" s="105">
        <f>SUM(H337:H339)</f>
        <v>2032.162</v>
      </c>
      <c r="I336" s="295">
        <f>SUM(I337:I339)</f>
        <v>0</v>
      </c>
      <c r="J336" s="295">
        <f>SUM(J337:J339)</f>
        <v>2032.162</v>
      </c>
    </row>
    <row r="337" spans="1:10" ht="12" customHeight="1" hidden="1">
      <c r="A337" s="456"/>
      <c r="B337" s="320"/>
      <c r="C337" s="321"/>
      <c r="D337" s="309">
        <v>2212</v>
      </c>
      <c r="E337" s="344">
        <v>5169</v>
      </c>
      <c r="F337" s="272" t="s">
        <v>60</v>
      </c>
      <c r="G337" s="7">
        <v>0</v>
      </c>
      <c r="H337" s="7">
        <v>4.356</v>
      </c>
      <c r="I337" s="7"/>
      <c r="J337" s="7">
        <f>H337+I337</f>
        <v>4.356</v>
      </c>
    </row>
    <row r="338" spans="1:10" ht="12" customHeight="1" hidden="1">
      <c r="A338" s="456"/>
      <c r="B338" s="320"/>
      <c r="C338" s="352" t="s">
        <v>200</v>
      </c>
      <c r="D338" s="309">
        <v>2212</v>
      </c>
      <c r="E338" s="344">
        <v>5169</v>
      </c>
      <c r="F338" s="272" t="s">
        <v>60</v>
      </c>
      <c r="G338" s="7">
        <v>0</v>
      </c>
      <c r="H338" s="7">
        <f>24.684+14.822+9.377</f>
        <v>48.883</v>
      </c>
      <c r="I338" s="7"/>
      <c r="J338" s="7">
        <f>H338+I338</f>
        <v>48.883</v>
      </c>
    </row>
    <row r="339" spans="1:10" ht="12" customHeight="1" hidden="1" thickBot="1">
      <c r="A339" s="456"/>
      <c r="B339" s="347"/>
      <c r="C339" s="348" t="s">
        <v>200</v>
      </c>
      <c r="D339" s="308">
        <v>2212</v>
      </c>
      <c r="E339" s="349">
        <v>5171</v>
      </c>
      <c r="F339" s="350" t="s">
        <v>203</v>
      </c>
      <c r="G339" s="5">
        <v>0</v>
      </c>
      <c r="H339" s="4">
        <f>3957.846/2</f>
        <v>1978.923</v>
      </c>
      <c r="I339" s="4"/>
      <c r="J339" s="5">
        <f>H339+I339</f>
        <v>1978.923</v>
      </c>
    </row>
    <row r="340" spans="1:10" ht="12" customHeight="1" hidden="1">
      <c r="A340" s="456"/>
      <c r="B340" s="340" t="s">
        <v>4</v>
      </c>
      <c r="C340" s="312" t="s">
        <v>352</v>
      </c>
      <c r="D340" s="318" t="s">
        <v>2</v>
      </c>
      <c r="E340" s="318" t="s">
        <v>2</v>
      </c>
      <c r="F340" s="319" t="s">
        <v>353</v>
      </c>
      <c r="G340" s="295">
        <f>SUM(G341:G343)</f>
        <v>0</v>
      </c>
      <c r="H340" s="105">
        <f>SUM(H341:H343)</f>
        <v>2685.0570000000002</v>
      </c>
      <c r="I340" s="295">
        <f>SUM(I341:I343)</f>
        <v>0</v>
      </c>
      <c r="J340" s="295">
        <f>SUM(J341:J343)</f>
        <v>2685.0570000000002</v>
      </c>
    </row>
    <row r="341" spans="1:10" ht="12" customHeight="1" hidden="1">
      <c r="A341" s="456"/>
      <c r="B341" s="320"/>
      <c r="C341" s="321"/>
      <c r="D341" s="309">
        <v>2212</v>
      </c>
      <c r="E341" s="344">
        <v>5169</v>
      </c>
      <c r="F341" s="272" t="s">
        <v>60</v>
      </c>
      <c r="G341" s="7">
        <v>0</v>
      </c>
      <c r="H341" s="7">
        <v>4.356</v>
      </c>
      <c r="I341" s="7"/>
      <c r="J341" s="7">
        <f>H341+I341</f>
        <v>4.356</v>
      </c>
    </row>
    <row r="342" spans="1:10" ht="12" customHeight="1" hidden="1">
      <c r="A342" s="456"/>
      <c r="B342" s="320"/>
      <c r="C342" s="352" t="s">
        <v>200</v>
      </c>
      <c r="D342" s="309">
        <v>2212</v>
      </c>
      <c r="E342" s="344">
        <v>5169</v>
      </c>
      <c r="F342" s="272" t="s">
        <v>60</v>
      </c>
      <c r="G342" s="7">
        <v>0</v>
      </c>
      <c r="H342" s="7">
        <f>24.684+53.845+35.332</f>
        <v>113.86099999999999</v>
      </c>
      <c r="I342" s="7"/>
      <c r="J342" s="7">
        <f>H342+I342</f>
        <v>113.86099999999999</v>
      </c>
    </row>
    <row r="343" spans="1:10" ht="12" customHeight="1" hidden="1" thickBot="1">
      <c r="A343" s="456"/>
      <c r="B343" s="347"/>
      <c r="C343" s="348" t="s">
        <v>200</v>
      </c>
      <c r="D343" s="308">
        <v>2212</v>
      </c>
      <c r="E343" s="349">
        <v>5171</v>
      </c>
      <c r="F343" s="350" t="s">
        <v>203</v>
      </c>
      <c r="G343" s="5">
        <v>0</v>
      </c>
      <c r="H343" s="106">
        <v>2566.84</v>
      </c>
      <c r="I343" s="4"/>
      <c r="J343" s="5">
        <f>H343+I343</f>
        <v>2566.84</v>
      </c>
    </row>
    <row r="344" spans="1:10" ht="12" customHeight="1" hidden="1">
      <c r="A344" s="456"/>
      <c r="B344" s="340" t="s">
        <v>4</v>
      </c>
      <c r="C344" s="312" t="s">
        <v>354</v>
      </c>
      <c r="D344" s="318" t="s">
        <v>2</v>
      </c>
      <c r="E344" s="318" t="s">
        <v>2</v>
      </c>
      <c r="F344" s="319" t="s">
        <v>355</v>
      </c>
      <c r="G344" s="295">
        <f>SUM(G345:G347)</f>
        <v>0</v>
      </c>
      <c r="H344" s="105">
        <f>SUM(H345:H347)</f>
        <v>1558.127</v>
      </c>
      <c r="I344" s="295">
        <f>SUM(I345:I347)</f>
        <v>0</v>
      </c>
      <c r="J344" s="295">
        <f>SUM(J345:J347)</f>
        <v>1558.127</v>
      </c>
    </row>
    <row r="345" spans="1:10" ht="12" customHeight="1" hidden="1">
      <c r="A345" s="456"/>
      <c r="B345" s="320"/>
      <c r="C345" s="321"/>
      <c r="D345" s="309">
        <v>2212</v>
      </c>
      <c r="E345" s="344">
        <v>5169</v>
      </c>
      <c r="F345" s="272" t="s">
        <v>60</v>
      </c>
      <c r="G345" s="7">
        <v>0</v>
      </c>
      <c r="H345" s="7">
        <v>4.356</v>
      </c>
      <c r="I345" s="7"/>
      <c r="J345" s="7">
        <f>H345+I345</f>
        <v>4.356</v>
      </c>
    </row>
    <row r="346" spans="1:10" ht="12" customHeight="1" hidden="1">
      <c r="A346" s="456"/>
      <c r="B346" s="320"/>
      <c r="C346" s="352" t="s">
        <v>200</v>
      </c>
      <c r="D346" s="309">
        <v>2212</v>
      </c>
      <c r="E346" s="344">
        <v>5169</v>
      </c>
      <c r="F346" s="272" t="s">
        <v>60</v>
      </c>
      <c r="G346" s="7">
        <v>0</v>
      </c>
      <c r="H346" s="7">
        <f>24.684+26.923+19.844</f>
        <v>71.451</v>
      </c>
      <c r="I346" s="7"/>
      <c r="J346" s="7">
        <f>H346+I346</f>
        <v>71.451</v>
      </c>
    </row>
    <row r="347" spans="1:10" ht="12" customHeight="1" hidden="1" thickBot="1">
      <c r="A347" s="456"/>
      <c r="B347" s="359"/>
      <c r="C347" s="360" t="s">
        <v>200</v>
      </c>
      <c r="D347" s="299">
        <v>2212</v>
      </c>
      <c r="E347" s="361">
        <v>5171</v>
      </c>
      <c r="F347" s="314" t="s">
        <v>203</v>
      </c>
      <c r="G347" s="4">
        <v>0</v>
      </c>
      <c r="H347" s="108">
        <v>1482.32</v>
      </c>
      <c r="I347" s="4"/>
      <c r="J347" s="4">
        <f>H347+I347</f>
        <v>1482.32</v>
      </c>
    </row>
    <row r="348" spans="1:10" ht="12" customHeight="1" hidden="1">
      <c r="A348" s="456"/>
      <c r="B348" s="340" t="s">
        <v>4</v>
      </c>
      <c r="C348" s="312" t="s">
        <v>356</v>
      </c>
      <c r="D348" s="318" t="s">
        <v>2</v>
      </c>
      <c r="E348" s="318" t="s">
        <v>2</v>
      </c>
      <c r="F348" s="319" t="s">
        <v>357</v>
      </c>
      <c r="G348" s="295">
        <f>SUM(G349:G351)</f>
        <v>0</v>
      </c>
      <c r="H348" s="105">
        <f>SUM(H349:H351)</f>
        <v>893.3169999999999</v>
      </c>
      <c r="I348" s="295">
        <f>SUM(I349:I351)</f>
        <v>0</v>
      </c>
      <c r="J348" s="295">
        <f>SUM(J349:J351)</f>
        <v>893.3169999999999</v>
      </c>
    </row>
    <row r="349" spans="1:10" ht="12" customHeight="1" hidden="1">
      <c r="A349" s="456"/>
      <c r="B349" s="320"/>
      <c r="C349" s="321"/>
      <c r="D349" s="309">
        <v>2212</v>
      </c>
      <c r="E349" s="344">
        <v>5169</v>
      </c>
      <c r="F349" s="272" t="s">
        <v>60</v>
      </c>
      <c r="G349" s="7">
        <v>0</v>
      </c>
      <c r="H349" s="7">
        <v>9.892</v>
      </c>
      <c r="I349" s="7"/>
      <c r="J349" s="7">
        <f>H349+I349</f>
        <v>9.892</v>
      </c>
    </row>
    <row r="350" spans="1:10" ht="12" customHeight="1" hidden="1">
      <c r="A350" s="456"/>
      <c r="B350" s="320"/>
      <c r="C350" s="352" t="s">
        <v>200</v>
      </c>
      <c r="D350" s="309">
        <v>2212</v>
      </c>
      <c r="E350" s="344">
        <v>5169</v>
      </c>
      <c r="F350" s="272" t="s">
        <v>60</v>
      </c>
      <c r="G350" s="7">
        <v>0</v>
      </c>
      <c r="H350" s="7">
        <f>56.053+24.2+10.285</f>
        <v>90.538</v>
      </c>
      <c r="I350" s="7"/>
      <c r="J350" s="7">
        <f>H350+I350</f>
        <v>90.538</v>
      </c>
    </row>
    <row r="351" spans="1:10" ht="12" customHeight="1" hidden="1" thickBot="1">
      <c r="A351" s="456"/>
      <c r="B351" s="347"/>
      <c r="C351" s="348" t="s">
        <v>200</v>
      </c>
      <c r="D351" s="308">
        <v>2212</v>
      </c>
      <c r="E351" s="349">
        <v>5171</v>
      </c>
      <c r="F351" s="350" t="s">
        <v>203</v>
      </c>
      <c r="G351" s="5">
        <v>0</v>
      </c>
      <c r="H351" s="4">
        <v>792.887</v>
      </c>
      <c r="I351" s="4"/>
      <c r="J351" s="5">
        <f>H351+I351</f>
        <v>792.887</v>
      </c>
    </row>
    <row r="352" spans="1:10" ht="12" customHeight="1" hidden="1">
      <c r="A352" s="456"/>
      <c r="B352" s="340" t="s">
        <v>4</v>
      </c>
      <c r="C352" s="312" t="s">
        <v>358</v>
      </c>
      <c r="D352" s="318" t="s">
        <v>2</v>
      </c>
      <c r="E352" s="318" t="s">
        <v>2</v>
      </c>
      <c r="F352" s="319" t="s">
        <v>359</v>
      </c>
      <c r="G352" s="295">
        <f>SUM(G353:G354)</f>
        <v>0</v>
      </c>
      <c r="H352" s="105">
        <f>SUM(H353:H354)</f>
        <v>71.995</v>
      </c>
      <c r="I352" s="295">
        <f>SUM(I353:I354)</f>
        <v>0</v>
      </c>
      <c r="J352" s="295">
        <f>SUM(J353:J354)</f>
        <v>71.995</v>
      </c>
    </row>
    <row r="353" spans="1:10" ht="12" customHeight="1" hidden="1">
      <c r="A353" s="456"/>
      <c r="B353" s="320"/>
      <c r="C353" s="321"/>
      <c r="D353" s="309">
        <v>2212</v>
      </c>
      <c r="E353" s="344">
        <v>5169</v>
      </c>
      <c r="F353" s="272" t="s">
        <v>60</v>
      </c>
      <c r="G353" s="7">
        <v>0</v>
      </c>
      <c r="H353" s="7">
        <v>10.7995</v>
      </c>
      <c r="I353" s="7"/>
      <c r="J353" s="7">
        <f>H353+I353</f>
        <v>10.7995</v>
      </c>
    </row>
    <row r="354" spans="1:10" ht="12" customHeight="1" hidden="1" thickBot="1">
      <c r="A354" s="456"/>
      <c r="B354" s="330"/>
      <c r="C354" s="360" t="s">
        <v>200</v>
      </c>
      <c r="D354" s="299">
        <v>2212</v>
      </c>
      <c r="E354" s="361">
        <v>5169</v>
      </c>
      <c r="F354" s="273" t="s">
        <v>60</v>
      </c>
      <c r="G354" s="4">
        <v>0</v>
      </c>
      <c r="H354" s="4">
        <v>61.1955</v>
      </c>
      <c r="I354" s="4"/>
      <c r="J354" s="4">
        <f>H354+I354</f>
        <v>61.1955</v>
      </c>
    </row>
    <row r="355" spans="1:10" ht="12" customHeight="1" hidden="1">
      <c r="A355" s="456"/>
      <c r="B355" s="340" t="s">
        <v>4</v>
      </c>
      <c r="C355" s="312" t="s">
        <v>360</v>
      </c>
      <c r="D355" s="318" t="s">
        <v>2</v>
      </c>
      <c r="E355" s="318" t="s">
        <v>2</v>
      </c>
      <c r="F355" s="319" t="s">
        <v>361</v>
      </c>
      <c r="G355" s="295">
        <f>SUM(G356:G358)</f>
        <v>0</v>
      </c>
      <c r="H355" s="105">
        <f>SUM(H356:H358)</f>
        <v>8587.447</v>
      </c>
      <c r="I355" s="295">
        <f>SUM(I356:I358)</f>
        <v>0</v>
      </c>
      <c r="J355" s="295">
        <f>SUM(J356:J358)</f>
        <v>8587.447</v>
      </c>
    </row>
    <row r="356" spans="1:10" ht="12" customHeight="1" hidden="1">
      <c r="A356" s="456"/>
      <c r="B356" s="320"/>
      <c r="C356" s="321"/>
      <c r="D356" s="309">
        <v>2212</v>
      </c>
      <c r="E356" s="344">
        <v>5169</v>
      </c>
      <c r="F356" s="272" t="s">
        <v>60</v>
      </c>
      <c r="G356" s="7">
        <v>0</v>
      </c>
      <c r="H356" s="7">
        <v>9.892</v>
      </c>
      <c r="I356" s="7"/>
      <c r="J356" s="7">
        <f>H356+I356</f>
        <v>9.892</v>
      </c>
    </row>
    <row r="357" spans="1:10" ht="12" customHeight="1" hidden="1">
      <c r="A357" s="456"/>
      <c r="B357" s="320"/>
      <c r="C357" s="352" t="s">
        <v>200</v>
      </c>
      <c r="D357" s="309">
        <v>2212</v>
      </c>
      <c r="E357" s="344">
        <v>5169</v>
      </c>
      <c r="F357" s="272" t="s">
        <v>60</v>
      </c>
      <c r="G357" s="7">
        <v>0</v>
      </c>
      <c r="H357" s="7">
        <f>56.053+49.61+33.856</f>
        <v>139.519</v>
      </c>
      <c r="I357" s="7"/>
      <c r="J357" s="7">
        <f>H357+I357</f>
        <v>139.519</v>
      </c>
    </row>
    <row r="358" spans="1:10" ht="12" customHeight="1" hidden="1" thickBot="1">
      <c r="A358" s="456"/>
      <c r="B358" s="347"/>
      <c r="C358" s="348" t="s">
        <v>200</v>
      </c>
      <c r="D358" s="299">
        <v>2212</v>
      </c>
      <c r="E358" s="361">
        <v>5171</v>
      </c>
      <c r="F358" s="314" t="s">
        <v>203</v>
      </c>
      <c r="G358" s="5">
        <v>0</v>
      </c>
      <c r="H358" s="4">
        <f>7448.471+989.565</f>
        <v>8438.036</v>
      </c>
      <c r="I358" s="7"/>
      <c r="J358" s="4">
        <f>H358+I358</f>
        <v>8438.036</v>
      </c>
    </row>
    <row r="359" spans="1:10" ht="12" customHeight="1" hidden="1">
      <c r="A359" s="456"/>
      <c r="B359" s="340" t="s">
        <v>4</v>
      </c>
      <c r="C359" s="312" t="s">
        <v>362</v>
      </c>
      <c r="D359" s="318" t="s">
        <v>2</v>
      </c>
      <c r="E359" s="318" t="s">
        <v>2</v>
      </c>
      <c r="F359" s="319" t="s">
        <v>363</v>
      </c>
      <c r="G359" s="295">
        <f>SUM(G360:G362)</f>
        <v>0</v>
      </c>
      <c r="H359" s="105">
        <f>SUM(H360:H362)</f>
        <v>1967.881</v>
      </c>
      <c r="I359" s="295">
        <f>SUM(I360:I362)</f>
        <v>0</v>
      </c>
      <c r="J359" s="295">
        <f>SUM(J360:J362)</f>
        <v>1967.881</v>
      </c>
    </row>
    <row r="360" spans="1:10" ht="12" customHeight="1" hidden="1">
      <c r="A360" s="456"/>
      <c r="B360" s="320"/>
      <c r="C360" s="321"/>
      <c r="D360" s="309">
        <v>2212</v>
      </c>
      <c r="E360" s="344">
        <v>5169</v>
      </c>
      <c r="F360" s="272" t="s">
        <v>60</v>
      </c>
      <c r="G360" s="7">
        <v>0</v>
      </c>
      <c r="H360" s="7">
        <v>9.892</v>
      </c>
      <c r="I360" s="7"/>
      <c r="J360" s="7">
        <f>H360+I360</f>
        <v>9.892</v>
      </c>
    </row>
    <row r="361" spans="1:10" ht="12" customHeight="1" hidden="1">
      <c r="A361" s="456"/>
      <c r="B361" s="320"/>
      <c r="C361" s="352" t="s">
        <v>200</v>
      </c>
      <c r="D361" s="309">
        <v>2212</v>
      </c>
      <c r="E361" s="344">
        <v>5169</v>
      </c>
      <c r="F361" s="272" t="s">
        <v>60</v>
      </c>
      <c r="G361" s="7">
        <v>0</v>
      </c>
      <c r="H361" s="7">
        <f>56.053+24.2+10.285</f>
        <v>90.538</v>
      </c>
      <c r="I361" s="7"/>
      <c r="J361" s="7">
        <f>H361+I361</f>
        <v>90.538</v>
      </c>
    </row>
    <row r="362" spans="1:10" ht="12" customHeight="1" hidden="1" thickBot="1">
      <c r="A362" s="456"/>
      <c r="B362" s="347"/>
      <c r="C362" s="348" t="s">
        <v>200</v>
      </c>
      <c r="D362" s="308">
        <v>2212</v>
      </c>
      <c r="E362" s="349">
        <v>5171</v>
      </c>
      <c r="F362" s="350" t="s">
        <v>203</v>
      </c>
      <c r="G362" s="5">
        <v>0</v>
      </c>
      <c r="H362" s="4">
        <v>1867.451</v>
      </c>
      <c r="I362" s="4"/>
      <c r="J362" s="5">
        <f>H362+I362</f>
        <v>1867.451</v>
      </c>
    </row>
    <row r="363" spans="1:10" ht="12" customHeight="1" hidden="1">
      <c r="A363" s="456"/>
      <c r="B363" s="340" t="s">
        <v>4</v>
      </c>
      <c r="C363" s="312" t="s">
        <v>364</v>
      </c>
      <c r="D363" s="318" t="s">
        <v>2</v>
      </c>
      <c r="E363" s="318" t="s">
        <v>2</v>
      </c>
      <c r="F363" s="319" t="s">
        <v>365</v>
      </c>
      <c r="G363" s="295">
        <f>SUM(G364:G366)</f>
        <v>0</v>
      </c>
      <c r="H363" s="105">
        <f>SUM(H364:H366)</f>
        <v>2009.527</v>
      </c>
      <c r="I363" s="295">
        <f>SUM(I364:I366)</f>
        <v>0</v>
      </c>
      <c r="J363" s="295">
        <f>SUM(J364:J366)</f>
        <v>2009.527</v>
      </c>
    </row>
    <row r="364" spans="1:10" ht="12" customHeight="1" hidden="1">
      <c r="A364" s="456"/>
      <c r="B364" s="320"/>
      <c r="C364" s="321"/>
      <c r="D364" s="309">
        <v>2212</v>
      </c>
      <c r="E364" s="344">
        <v>5169</v>
      </c>
      <c r="F364" s="272" t="s">
        <v>60</v>
      </c>
      <c r="G364" s="7">
        <v>0</v>
      </c>
      <c r="H364" s="7">
        <v>8.9845</v>
      </c>
      <c r="I364" s="7"/>
      <c r="J364" s="7">
        <f>H364+I364</f>
        <v>8.9845</v>
      </c>
    </row>
    <row r="365" spans="1:10" ht="12" customHeight="1" hidden="1">
      <c r="A365" s="456"/>
      <c r="B365" s="320"/>
      <c r="C365" s="352" t="s">
        <v>200</v>
      </c>
      <c r="D365" s="309">
        <v>2212</v>
      </c>
      <c r="E365" s="344">
        <v>5169</v>
      </c>
      <c r="F365" s="272" t="s">
        <v>60</v>
      </c>
      <c r="G365" s="7">
        <v>0</v>
      </c>
      <c r="H365" s="7">
        <f>50.9105+33.033+27.612</f>
        <v>111.5555</v>
      </c>
      <c r="I365" s="7"/>
      <c r="J365" s="7">
        <f>H365+I365</f>
        <v>111.5555</v>
      </c>
    </row>
    <row r="366" spans="1:10" ht="12" customHeight="1" hidden="1" thickBot="1">
      <c r="A366" s="456"/>
      <c r="B366" s="347"/>
      <c r="C366" s="348" t="s">
        <v>200</v>
      </c>
      <c r="D366" s="308">
        <v>2212</v>
      </c>
      <c r="E366" s="349">
        <v>5171</v>
      </c>
      <c r="F366" s="350" t="s">
        <v>203</v>
      </c>
      <c r="G366" s="5">
        <v>0</v>
      </c>
      <c r="H366" s="4">
        <v>1888.987</v>
      </c>
      <c r="I366" s="4"/>
      <c r="J366" s="5">
        <f>H366+I366</f>
        <v>1888.987</v>
      </c>
    </row>
    <row r="367" spans="1:10" ht="12" customHeight="1" hidden="1">
      <c r="A367" s="456"/>
      <c r="B367" s="340" t="s">
        <v>4</v>
      </c>
      <c r="C367" s="376" t="s">
        <v>366</v>
      </c>
      <c r="D367" s="318" t="s">
        <v>2</v>
      </c>
      <c r="E367" s="318" t="s">
        <v>2</v>
      </c>
      <c r="F367" s="319" t="s">
        <v>367</v>
      </c>
      <c r="G367" s="295">
        <f>SUM(G368:G369)</f>
        <v>0</v>
      </c>
      <c r="H367" s="105">
        <f>SUM(H368:H369)</f>
        <v>4373.151</v>
      </c>
      <c r="I367" s="295">
        <f>SUM(I368:I369)</f>
        <v>0</v>
      </c>
      <c r="J367" s="295">
        <f>SUM(J368:J369)</f>
        <v>4373.151</v>
      </c>
    </row>
    <row r="368" spans="1:10" ht="12" customHeight="1" hidden="1">
      <c r="A368" s="456"/>
      <c r="B368" s="320"/>
      <c r="C368" s="352" t="s">
        <v>200</v>
      </c>
      <c r="D368" s="309">
        <v>2212</v>
      </c>
      <c r="E368" s="344">
        <v>5169</v>
      </c>
      <c r="F368" s="272" t="s">
        <v>60</v>
      </c>
      <c r="G368" s="7">
        <v>0</v>
      </c>
      <c r="H368" s="106">
        <f>123.42+62.92</f>
        <v>186.34</v>
      </c>
      <c r="I368" s="7"/>
      <c r="J368" s="7">
        <f>H368+I368</f>
        <v>186.34</v>
      </c>
    </row>
    <row r="369" spans="1:10" ht="12" customHeight="1" hidden="1" thickBot="1">
      <c r="A369" s="456"/>
      <c r="B369" s="330"/>
      <c r="C369" s="375"/>
      <c r="D369" s="299">
        <v>2212</v>
      </c>
      <c r="E369" s="361">
        <v>5171</v>
      </c>
      <c r="F369" s="314" t="s">
        <v>203</v>
      </c>
      <c r="G369" s="4">
        <v>0</v>
      </c>
      <c r="H369" s="4">
        <f>4186.811*0.15-511.6785+0.00035+(4186.811*0.85+511.6785-0.00035)</f>
        <v>4186.811</v>
      </c>
      <c r="I369" s="4"/>
      <c r="J369" s="4">
        <f>H369+I369</f>
        <v>4186.811</v>
      </c>
    </row>
    <row r="370" spans="1:10" ht="12" customHeight="1" hidden="1">
      <c r="A370" s="456"/>
      <c r="B370" s="340" t="s">
        <v>4</v>
      </c>
      <c r="C370" s="376" t="s">
        <v>368</v>
      </c>
      <c r="D370" s="172" t="s">
        <v>2</v>
      </c>
      <c r="E370" s="172" t="s">
        <v>2</v>
      </c>
      <c r="F370" s="173" t="s">
        <v>369</v>
      </c>
      <c r="G370" s="295">
        <f>SUM(G371:G372)</f>
        <v>0</v>
      </c>
      <c r="H370" s="105">
        <f>SUM(H371:H372)</f>
        <v>1443.0649999999998</v>
      </c>
      <c r="I370" s="295">
        <f>SUM(I371:I372)</f>
        <v>0</v>
      </c>
      <c r="J370" s="295">
        <f>SUM(J371:J372)</f>
        <v>1443.0649999999998</v>
      </c>
    </row>
    <row r="371" spans="1:10" ht="12" customHeight="1" hidden="1">
      <c r="A371" s="456"/>
      <c r="B371" s="320"/>
      <c r="C371" s="377" t="s">
        <v>200</v>
      </c>
      <c r="D371" s="363">
        <v>2212</v>
      </c>
      <c r="E371" s="378">
        <v>5169</v>
      </c>
      <c r="F371" s="379" t="s">
        <v>60</v>
      </c>
      <c r="G371" s="7">
        <v>0</v>
      </c>
      <c r="H371" s="107">
        <f>34.243+20</f>
        <v>54.243</v>
      </c>
      <c r="I371" s="107"/>
      <c r="J371" s="7">
        <f>H371+I371</f>
        <v>54.243</v>
      </c>
    </row>
    <row r="372" spans="1:10" ht="12" customHeight="1" hidden="1" thickBot="1">
      <c r="A372" s="456"/>
      <c r="B372" s="330"/>
      <c r="C372" s="380" t="s">
        <v>200</v>
      </c>
      <c r="D372" s="381">
        <v>2212</v>
      </c>
      <c r="E372" s="382">
        <v>5171</v>
      </c>
      <c r="F372" s="383" t="s">
        <v>203</v>
      </c>
      <c r="G372" s="4">
        <v>0</v>
      </c>
      <c r="H372" s="145">
        <v>1388.822</v>
      </c>
      <c r="I372" s="145"/>
      <c r="J372" s="4">
        <f>H372+I372</f>
        <v>1388.822</v>
      </c>
    </row>
    <row r="373" spans="1:10" ht="12" customHeight="1" thickBot="1">
      <c r="A373" s="456"/>
      <c r="B373" s="384" t="s">
        <v>22</v>
      </c>
      <c r="C373" s="385" t="s">
        <v>2</v>
      </c>
      <c r="D373" s="386" t="s">
        <v>2</v>
      </c>
      <c r="E373" s="335" t="s">
        <v>2</v>
      </c>
      <c r="F373" s="387" t="s">
        <v>370</v>
      </c>
      <c r="G373" s="388">
        <f>G374</f>
        <v>0</v>
      </c>
      <c r="H373" s="388">
        <f>H374</f>
        <v>598.534</v>
      </c>
      <c r="I373" s="388">
        <f>I374</f>
        <v>0</v>
      </c>
      <c r="J373" s="388">
        <f>J374</f>
        <v>598.534</v>
      </c>
    </row>
    <row r="374" spans="1:10" ht="12.75">
      <c r="A374" s="456"/>
      <c r="B374" s="389" t="s">
        <v>22</v>
      </c>
      <c r="C374" s="376" t="s">
        <v>371</v>
      </c>
      <c r="D374" s="172" t="s">
        <v>2</v>
      </c>
      <c r="E374" s="172" t="s">
        <v>2</v>
      </c>
      <c r="F374" s="173" t="s">
        <v>372</v>
      </c>
      <c r="G374" s="105">
        <f>SUM(G375:G375)</f>
        <v>0</v>
      </c>
      <c r="H374" s="105">
        <f>SUM(H375:H375)</f>
        <v>598.534</v>
      </c>
      <c r="I374" s="105">
        <f>SUM(I375:I375)</f>
        <v>0</v>
      </c>
      <c r="J374" s="105">
        <f>SUM(J375:J375)</f>
        <v>598.534</v>
      </c>
    </row>
    <row r="375" spans="1:10" ht="13.5" thickBot="1">
      <c r="A375" s="457"/>
      <c r="B375" s="390"/>
      <c r="C375" s="380" t="s">
        <v>200</v>
      </c>
      <c r="D375" s="391">
        <v>2212</v>
      </c>
      <c r="E375" s="392">
        <v>5171</v>
      </c>
      <c r="F375" s="393" t="s">
        <v>203</v>
      </c>
      <c r="G375" s="145">
        <v>0</v>
      </c>
      <c r="H375" s="145">
        <v>598.534</v>
      </c>
      <c r="I375" s="145"/>
      <c r="J375" s="4">
        <f>H375+I375</f>
        <v>598.534</v>
      </c>
    </row>
  </sheetData>
  <sheetProtection/>
  <mergeCells count="12">
    <mergeCell ref="A8:A375"/>
    <mergeCell ref="F5:F6"/>
    <mergeCell ref="G5:G6"/>
    <mergeCell ref="H5:H6"/>
    <mergeCell ref="A1:J1"/>
    <mergeCell ref="A3:J3"/>
    <mergeCell ref="I5:J5"/>
    <mergeCell ref="A5:A6"/>
    <mergeCell ref="B5:B6"/>
    <mergeCell ref="C5:C6"/>
    <mergeCell ref="D5:D6"/>
    <mergeCell ref="E5:E6"/>
  </mergeCells>
  <printOptions horizontalCentered="1"/>
  <pageMargins left="0.11811023622047245" right="0.11811023622047245" top="0.5905511811023623" bottom="0.5905511811023623" header="0" footer="0"/>
  <pageSetup horizontalDpi="600" verticalDpi="600" orientation="portrait" paperSize="9" scale="88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Vyhlidalova Dagmar</cp:lastModifiedBy>
  <cp:lastPrinted>2014-12-01T14:39:22Z</cp:lastPrinted>
  <dcterms:created xsi:type="dcterms:W3CDTF">2006-09-25T08:49:57Z</dcterms:created>
  <dcterms:modified xsi:type="dcterms:W3CDTF">2014-12-01T14:40:15Z</dcterms:modified>
  <cp:category/>
  <cp:version/>
  <cp:contentType/>
  <cp:contentStatus/>
</cp:coreProperties>
</file>