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92006" sheetId="1" r:id="rId1"/>
  </sheets>
  <definedNames>
    <definedName name="_xlnm.Print_Titles" localSheetId="0">'92006'!$5:$6</definedName>
  </definedNames>
  <calcPr fullCalcOnLoad="1"/>
</workbook>
</file>

<file path=xl/sharedStrings.xml><?xml version="1.0" encoding="utf-8"?>
<sst xmlns="http://schemas.openxmlformats.org/spreadsheetml/2006/main" count="952" uniqueCount="242">
  <si>
    <t>x</t>
  </si>
  <si>
    <t>uk.</t>
  </si>
  <si>
    <t>SU</t>
  </si>
  <si>
    <t>č.a.</t>
  </si>
  <si>
    <t>§</t>
  </si>
  <si>
    <t>pol.</t>
  </si>
  <si>
    <t>změna</t>
  </si>
  <si>
    <t>DU</t>
  </si>
  <si>
    <t>správce rozpočtových výdajů = odbor dopravy</t>
  </si>
  <si>
    <t>nákup ostatních služeb</t>
  </si>
  <si>
    <t>SR 2014</t>
  </si>
  <si>
    <t>UR I 2014</t>
  </si>
  <si>
    <t>UR II 2014</t>
  </si>
  <si>
    <t>budovy, haly a stavby</t>
  </si>
  <si>
    <t>nespecifikované rezervy</t>
  </si>
  <si>
    <t>investiční transfery zřízeným příspěvkovým organizacím</t>
  </si>
  <si>
    <t>Rozpis výdajů kapitoly 920</t>
  </si>
  <si>
    <t>92006 - Kapitálové výdaje</t>
  </si>
  <si>
    <t>tis. Kč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</si>
  <si>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</si>
  <si>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</si>
  <si>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</si>
  <si>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</si>
  <si>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</si>
  <si>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</si>
  <si>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0681150000</t>
  </si>
  <si>
    <t>0681760000</t>
  </si>
  <si>
    <t>Most přes Valteřický potok ve Valteřicích ev.č. 2634-1</t>
  </si>
  <si>
    <t>0690600000</t>
  </si>
  <si>
    <t>PD - osazení 2 ks meteohlásek na silnicích II. třídy</t>
  </si>
  <si>
    <t>ostatní nákup dlouhodobého hmotného majetku</t>
  </si>
  <si>
    <t>0690610000</t>
  </si>
  <si>
    <t>Rekonstrukce silnice III/2887 Bozkov</t>
  </si>
  <si>
    <t>0690620000</t>
  </si>
  <si>
    <t>silnice II/290 Frýdlant - Bílý Potok (I.etapa) - povodně</t>
  </si>
  <si>
    <t>(UZ 17789)</t>
  </si>
  <si>
    <t>stavba nebo rekonstrukce silnice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</si>
  <si>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</si>
  <si>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</si>
  <si>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</si>
  <si>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</si>
  <si>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</si>
  <si>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</si>
  <si>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0690660000</t>
  </si>
  <si>
    <t>Studie proveditelnosti železničního spojení Praha – Mladá Boleslav – Liberec</t>
  </si>
  <si>
    <t>0690690000</t>
  </si>
  <si>
    <t>Modernizace silnice Horka u Staré Paky – Dolní Branná</t>
  </si>
  <si>
    <t>ZJ 035</t>
  </si>
  <si>
    <t>investiční transfery krajům</t>
  </si>
  <si>
    <t>0690700000</t>
  </si>
  <si>
    <t>II/290 rekonstrukce opěrné zdi v km 12,5 - 12,6 a mostu 290-011 - povodně</t>
  </si>
  <si>
    <t>0690710000</t>
  </si>
  <si>
    <t>silnice II/290 Frýdlant - Bílý Potok (II. etapa) - povodně</t>
  </si>
  <si>
    <t>0690720000</t>
  </si>
  <si>
    <t>silnice II/592 Chrastava (II. etapa) - povodně</t>
  </si>
  <si>
    <t>0690730000</t>
  </si>
  <si>
    <t>silnice III/27252 Vítkov - povodně</t>
  </si>
  <si>
    <t>0690741601</t>
  </si>
  <si>
    <t>KSS LK - projektová dokumentace - povodňové škody 2013</t>
  </si>
  <si>
    <t>neinvestiční transfery zřízeným příspěvkovým organizacím</t>
  </si>
  <si>
    <t>Povodně 2013 - SFDI</t>
  </si>
  <si>
    <t>0682280000</t>
  </si>
  <si>
    <t>opravy silnic II. a III. tříd včetně opěrných zdí</t>
  </si>
  <si>
    <t>(ÚZ 91252)</t>
  </si>
  <si>
    <t>0682320000</t>
  </si>
  <si>
    <t>III/03513 – Dětřichov, havárie silničního tělesa</t>
  </si>
  <si>
    <t>opravy a udržování</t>
  </si>
  <si>
    <t>0682330000</t>
  </si>
  <si>
    <t>II/283 - Bělá u Turnova, oprava nábřežní zdi</t>
  </si>
  <si>
    <t>0682340000</t>
  </si>
  <si>
    <t>III/26839 Kunratice u Cvikova, havárie opěrné zdi</t>
  </si>
  <si>
    <t>0682350000</t>
  </si>
  <si>
    <t>III/26841 Cvikov, havárie opěrné zdi</t>
  </si>
  <si>
    <t>0682360000</t>
  </si>
  <si>
    <t>III/26836 Lindava, havárie opěrné zdi</t>
  </si>
  <si>
    <t>0682370000</t>
  </si>
  <si>
    <t>III/26314 Prysk, havárie opěrné zdi</t>
  </si>
  <si>
    <t>0682380000</t>
  </si>
  <si>
    <t>III/2708 Velký Grunov, havárie opěrné zdi</t>
  </si>
  <si>
    <t>0682390000</t>
  </si>
  <si>
    <t>III/2627 Volfartice, havárie opěrné zdi a propustku</t>
  </si>
  <si>
    <t>0682400000</t>
  </si>
  <si>
    <t>III/2628 Skalice u České Lípy, havárie opěrné zdi</t>
  </si>
  <si>
    <t>0682410000</t>
  </si>
  <si>
    <t>III/2911 Krásný Les, havárie opěrné zdi</t>
  </si>
  <si>
    <t>0682420000</t>
  </si>
  <si>
    <t>II/290 Smědava, havárie opěrné zdi</t>
  </si>
  <si>
    <t>0682430000</t>
  </si>
  <si>
    <t>III/2911 Dolní Řasnice, havárie opěrné zdi</t>
  </si>
  <si>
    <t>0682440000</t>
  </si>
  <si>
    <t>III/2918 Horní Řasnice, havárie opěrné zdi</t>
  </si>
  <si>
    <t>0682450000</t>
  </si>
  <si>
    <t>III/2918 Srbská, havárie opěrné zdi</t>
  </si>
  <si>
    <t>0682460000</t>
  </si>
  <si>
    <t>III/2914 Bulovka, havárie opěrné zdi</t>
  </si>
  <si>
    <t>0682470000</t>
  </si>
  <si>
    <t>III/0357 Pertoltice, havárie opěrné zdi</t>
  </si>
  <si>
    <t>0682480000</t>
  </si>
  <si>
    <t>II/290 Smědava, havárie silnice</t>
  </si>
  <si>
    <t>0682490000</t>
  </si>
  <si>
    <t>II/291 Nové Město pod Smrkem, havárie silnice</t>
  </si>
  <si>
    <t>0682500000</t>
  </si>
  <si>
    <t>III/0353 Černousy, havárie propustku</t>
  </si>
  <si>
    <t>0682510000</t>
  </si>
  <si>
    <t>III/0357 Předlánce, havárie propustku</t>
  </si>
  <si>
    <t>0682520000</t>
  </si>
  <si>
    <t>III/0357 Pertoltice, havárie silnice</t>
  </si>
  <si>
    <t>0682530000</t>
  </si>
  <si>
    <t>III/0357 Pertoltice, havárie propustku</t>
  </si>
  <si>
    <t>0682540000</t>
  </si>
  <si>
    <t>III/03514 Kunratice, havárie silnice</t>
  </si>
  <si>
    <t>0682550000</t>
  </si>
  <si>
    <t>III/29011 Ludvíkov pod Smrkem, havárie propustku</t>
  </si>
  <si>
    <t>0682560000</t>
  </si>
  <si>
    <t>III/2903 Raspenava, havárie silnice</t>
  </si>
  <si>
    <t>0682570000</t>
  </si>
  <si>
    <t>III/29011 Raspenava, havárie silnice</t>
  </si>
  <si>
    <t>0682580000</t>
  </si>
  <si>
    <t>III/2916 Hajniště, havárie propustku</t>
  </si>
  <si>
    <t>0682590000</t>
  </si>
  <si>
    <t>III/2904 Oldřichov v H., havárie propustku, p.k. 111</t>
  </si>
  <si>
    <t>0682600000</t>
  </si>
  <si>
    <t>III/2904 Oldřichov v H., havárie propustku, p.k. 110</t>
  </si>
  <si>
    <t>0682610000</t>
  </si>
  <si>
    <t>III/2904 Oldřichov v H., havárie propustku, p.k. 28</t>
  </si>
  <si>
    <t>0682620000</t>
  </si>
  <si>
    <t>III/2904 Oldřichov v Hájích, havárie silnice</t>
  </si>
  <si>
    <t>0682630000</t>
  </si>
  <si>
    <t>II/278 Hamr na Jezeře, havárie silnice</t>
  </si>
  <si>
    <t>0682640000</t>
  </si>
  <si>
    <t>II/278 Břevniště, havárie propustku</t>
  </si>
  <si>
    <t>0682650000</t>
  </si>
  <si>
    <t>III/26842 Rousínov, havárie propustku</t>
  </si>
  <si>
    <t>0682660000</t>
  </si>
  <si>
    <t>II/278 Stráž pod Ralskem, havárie silnice</t>
  </si>
  <si>
    <t>0682670000</t>
  </si>
  <si>
    <t>III/26318 Polevsko, havárie propustku</t>
  </si>
  <si>
    <t>0682680000</t>
  </si>
  <si>
    <t>III/2627 Horní Libchava, havárie propustku</t>
  </si>
  <si>
    <t>0682690000</t>
  </si>
  <si>
    <t>592-008 Kryštofovo Údolí, havárie mostu</t>
  </si>
  <si>
    <t>0682700000</t>
  </si>
  <si>
    <t>592-010 Kryštofovo Údolí, havárie mostu</t>
  </si>
  <si>
    <t>0682710000</t>
  </si>
  <si>
    <t>27241-1 Křižany, havárie mostu</t>
  </si>
  <si>
    <t>0682720000</t>
  </si>
  <si>
    <t>2713-5 Chotyně, havárie mostu</t>
  </si>
  <si>
    <t>0682730000</t>
  </si>
  <si>
    <t>III/27241 Křižany, havárie opěrné zdi, p.k. 76</t>
  </si>
  <si>
    <t>0682740000</t>
  </si>
  <si>
    <t>III/27241 Křižany, havárie opěrné zdi, p.k. 77</t>
  </si>
  <si>
    <t>0682750000</t>
  </si>
  <si>
    <t>III/27241 Křižany, havárie opěrné zdi, p.k. 78</t>
  </si>
  <si>
    <t>0682760000</t>
  </si>
  <si>
    <t>III/27243 Zdislava, havárie opěrné zdi</t>
  </si>
  <si>
    <t>0682770000</t>
  </si>
  <si>
    <t>II/592 Kryštofovo Údolí, havárie opěrné zdi, p.k. 58</t>
  </si>
  <si>
    <t>0682780000</t>
  </si>
  <si>
    <t>II/592 Kryštofovo Údolí, havárie opěrné zdi, p.k. 61</t>
  </si>
  <si>
    <t>0682790000</t>
  </si>
  <si>
    <t>III/2711 Chotyně, havárie opěrné zdi</t>
  </si>
  <si>
    <t>0682800000</t>
  </si>
  <si>
    <t>III/2711 Bílý Kostel, havárie propustku</t>
  </si>
  <si>
    <t>0682810000</t>
  </si>
  <si>
    <t>III/27247 Machnín, havárie opěrné zdi</t>
  </si>
  <si>
    <t>0682820000</t>
  </si>
  <si>
    <t>III/27716 Kněžičky, havárie opěrné zdi, p.k. 63</t>
  </si>
  <si>
    <t>0682830000</t>
  </si>
  <si>
    <t>III/27716 Kněžičky, havárie opěrné zdi, p.k. 64</t>
  </si>
  <si>
    <t>0682840000</t>
  </si>
  <si>
    <t>III/27251 Chrastava, havárie opěrné zdi</t>
  </si>
  <si>
    <t>0682850000</t>
  </si>
  <si>
    <t>294-001 Vítkovice, havárie mostu</t>
  </si>
  <si>
    <t>0682860000</t>
  </si>
  <si>
    <t>29056-2 Paseky nad Jizerou, havárie mostu</t>
  </si>
  <si>
    <t>0682870000</t>
  </si>
  <si>
    <t>2951-6 Zálesní Lhota, havárie mostu</t>
  </si>
  <si>
    <t>0682880000</t>
  </si>
  <si>
    <t>II/286 Dolní Štěpanice, havárie opěrné zdi</t>
  </si>
  <si>
    <t>0682890000</t>
  </si>
  <si>
    <t>II/290 Roprachtice, havárie opěrné zdi</t>
  </si>
  <si>
    <t>0682900000</t>
  </si>
  <si>
    <t>III/27244 Rynoltice, havárie propustku</t>
  </si>
  <si>
    <t>0682910000</t>
  </si>
  <si>
    <t>III/2905 Mníšek, havárie propustku</t>
  </si>
  <si>
    <t>0682920000</t>
  </si>
  <si>
    <t>III/2907 Fojtka, havárie silnice</t>
  </si>
  <si>
    <t>0682930000</t>
  </si>
  <si>
    <t>III/27243 Jitrava, havárie propustku</t>
  </si>
  <si>
    <t>0682940000</t>
  </si>
  <si>
    <t>II/592 Křižany, havárie silnice</t>
  </si>
  <si>
    <t>0682950000</t>
  </si>
  <si>
    <t>III/27241 Žibřidice, havárie silnice</t>
  </si>
  <si>
    <t>0682960000</t>
  </si>
  <si>
    <t>III/29020 Liberec, havárie propustku a silnice</t>
  </si>
  <si>
    <t>0682970000</t>
  </si>
  <si>
    <t>III/27253 Nová Ves, havárie silnice</t>
  </si>
  <si>
    <t>0682980000</t>
  </si>
  <si>
    <t>III/2907 Fojtka, havárie propustku</t>
  </si>
  <si>
    <t>0682990000</t>
  </si>
  <si>
    <t>III/2784 Ještěd, havárie silnice (065a + 065b)</t>
  </si>
  <si>
    <t>0683000000</t>
  </si>
  <si>
    <t>III/2784 Ještěd, havárie propustku, p.k. 66</t>
  </si>
  <si>
    <t>0683010000</t>
  </si>
  <si>
    <t>III/2784 Ještěd, havárie propustku, p.k. 67</t>
  </si>
  <si>
    <t>0683020000</t>
  </si>
  <si>
    <t>III/27240 Druzcov, havárie propustku</t>
  </si>
  <si>
    <t>0683030000</t>
  </si>
  <si>
    <t>III/2711 Chotyně, havárie propustku</t>
  </si>
  <si>
    <t>0683040000</t>
  </si>
  <si>
    <t>III/29020 Liberec, havárie propustku</t>
  </si>
  <si>
    <t>0683050000</t>
  </si>
  <si>
    <t>III/29020 Liberec, havárie silnice</t>
  </si>
  <si>
    <t>0683060000</t>
  </si>
  <si>
    <t>III/2711 Chotyně, havárie silnice</t>
  </si>
  <si>
    <t>0683070000</t>
  </si>
  <si>
    <t>III/01326 Krásná Studánka, havárie propustku</t>
  </si>
  <si>
    <t>0683080000</t>
  </si>
  <si>
    <t>III/27247 Machnín, havárie silnice</t>
  </si>
  <si>
    <t>0683090000</t>
  </si>
  <si>
    <t>III/2931 Levínská Olešnice, havárie silnice</t>
  </si>
  <si>
    <t>0683100000</t>
  </si>
  <si>
    <t>III/28312 Tample, havárie propustku a silnice</t>
  </si>
  <si>
    <t>0683110000</t>
  </si>
  <si>
    <t>II/286 Vítkovice, Mísečky, havárie silnice</t>
  </si>
  <si>
    <t>0683120000</t>
  </si>
  <si>
    <t>III/28411 Roztoky u Jilemnice, havárie silnice</t>
  </si>
  <si>
    <t>0683130000</t>
  </si>
  <si>
    <t>II/288 Bozkov, havárie propustku</t>
  </si>
  <si>
    <t>0683310000</t>
  </si>
  <si>
    <t>III/26834 Velký Grunov, havárie nábřežní zdi</t>
  </si>
  <si>
    <t>0683320000</t>
  </si>
  <si>
    <t>III/29021 Liberec, ul. Horská, havárie opěrné zdi</t>
  </si>
  <si>
    <t>Opravy silnic II. a III. třídy - Liberecký kraj</t>
  </si>
  <si>
    <t>0683300000</t>
  </si>
  <si>
    <t>III/29020 propustek ul. Jizerská, Liberec</t>
  </si>
  <si>
    <t>Oprava 9 mostů, Bílý Potok, Kunratice, Raspenava, Dětřichov, Bulovka a Dolní Pertoltice</t>
  </si>
  <si>
    <t>0690751601</t>
  </si>
  <si>
    <t>KSS LK - projektová dokumentace – opravy mostů v havarijním stavu</t>
  </si>
  <si>
    <t>0690681601</t>
  </si>
  <si>
    <t>přeložka ČEZ na akci „Rekonstrukce mostu Jablonec nad Nisou, nám. B. Němcové III/28733-1“</t>
  </si>
  <si>
    <t>26.změna-RO č. 320/14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</si>
</sst>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4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68">
    <xf numFmtId="0" fontId="0" fillId="0" borderId="0" xfId="0" applyAlignment="1">
      <alignment/>
    </xf>
    <xf numFmtId="4" fontId="1" fillId="0" borderId="10" xfId="50" applyNumberFormat="1" applyFont="1" applyFill="1" applyBorder="1" applyAlignment="1">
      <alignment vertical="center"/>
      <protection/>
    </xf>
    <xf numFmtId="4" fontId="1" fillId="0" borderId="11" xfId="50" applyNumberFormat="1" applyFont="1" applyFill="1" applyBorder="1" applyAlignment="1">
      <alignment vertical="center"/>
      <protection/>
    </xf>
    <xf numFmtId="4" fontId="1" fillId="0" borderId="12" xfId="50" applyNumberFormat="1" applyFont="1" applyFill="1" applyBorder="1" applyAlignment="1">
      <alignment vertical="center"/>
      <protection/>
    </xf>
    <xf numFmtId="4" fontId="1" fillId="0" borderId="13" xfId="50" applyNumberFormat="1" applyFont="1" applyFill="1" applyBorder="1" applyAlignment="1">
      <alignment vertical="center"/>
      <protection/>
    </xf>
    <xf numFmtId="4" fontId="1" fillId="0" borderId="14" xfId="50" applyNumberFormat="1" applyFont="1" applyFill="1" applyBorder="1" applyAlignment="1">
      <alignment vertical="center"/>
      <protection/>
    </xf>
    <xf numFmtId="0" fontId="1" fillId="0" borderId="15" xfId="50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4" fontId="4" fillId="0" borderId="16" xfId="51" applyNumberFormat="1" applyFont="1" applyFill="1" applyBorder="1" applyAlignment="1">
      <alignment vertical="center"/>
      <protection/>
    </xf>
    <xf numFmtId="4" fontId="1" fillId="0" borderId="14" xfId="51" applyNumberFormat="1" applyFont="1" applyFill="1" applyBorder="1" applyAlignment="1">
      <alignment vertical="center"/>
      <protection/>
    </xf>
    <xf numFmtId="4" fontId="1" fillId="0" borderId="13" xfId="51" applyNumberFormat="1" applyFont="1" applyFill="1" applyBorder="1" applyAlignment="1">
      <alignment vertical="center"/>
      <protection/>
    </xf>
    <xf numFmtId="4" fontId="1" fillId="0" borderId="10" xfId="51" applyNumberFormat="1" applyFont="1" applyFill="1" applyBorder="1" applyAlignment="1">
      <alignment vertical="center"/>
      <protection/>
    </xf>
    <xf numFmtId="4" fontId="1" fillId="0" borderId="11" xfId="51" applyNumberFormat="1" applyFont="1" applyFill="1" applyBorder="1" applyAlignment="1">
      <alignment vertical="center"/>
      <protection/>
    </xf>
    <xf numFmtId="0" fontId="4" fillId="0" borderId="17" xfId="51" applyFont="1" applyFill="1" applyBorder="1" applyAlignment="1">
      <alignment horizontal="center" vertical="center"/>
      <protection/>
    </xf>
    <xf numFmtId="0" fontId="4" fillId="0" borderId="18" xfId="51" applyFont="1" applyFill="1" applyBorder="1" applyAlignment="1">
      <alignment vertical="center"/>
      <protection/>
    </xf>
    <xf numFmtId="0" fontId="25" fillId="0" borderId="19" xfId="48" applyFont="1" applyFill="1" applyBorder="1" applyAlignment="1">
      <alignment vertical="center" wrapText="1"/>
      <protection/>
    </xf>
    <xf numFmtId="0" fontId="25" fillId="0" borderId="20" xfId="48" applyFont="1" applyFill="1" applyBorder="1" applyAlignment="1">
      <alignment vertical="center" wrapText="1"/>
      <protection/>
    </xf>
    <xf numFmtId="4" fontId="1" fillId="0" borderId="21" xfId="50" applyNumberFormat="1" applyFont="1" applyFill="1" applyBorder="1" applyAlignment="1">
      <alignment vertical="center"/>
      <protection/>
    </xf>
    <xf numFmtId="0" fontId="1" fillId="0" borderId="19" xfId="50" applyFont="1" applyFill="1" applyBorder="1" applyAlignment="1">
      <alignment vertical="center"/>
      <protection/>
    </xf>
    <xf numFmtId="0" fontId="1" fillId="0" borderId="22" xfId="50" applyFont="1" applyFill="1" applyBorder="1" applyAlignment="1">
      <alignment vertical="center"/>
      <protection/>
    </xf>
    <xf numFmtId="4" fontId="1" fillId="0" borderId="23" xfId="50" applyNumberFormat="1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4" xfId="50" applyFont="1" applyFill="1" applyBorder="1" applyAlignment="1">
      <alignment horizontal="center" vertical="center"/>
      <protection/>
    </xf>
    <xf numFmtId="0" fontId="4" fillId="0" borderId="25" xfId="50" applyFont="1" applyFill="1" applyBorder="1" applyAlignment="1">
      <alignment horizontal="center" vertical="center"/>
      <protection/>
    </xf>
    <xf numFmtId="1" fontId="4" fillId="0" borderId="26" xfId="50" applyNumberFormat="1" applyFont="1" applyFill="1" applyBorder="1" applyAlignment="1">
      <alignment horizontal="center" vertical="center"/>
      <protection/>
    </xf>
    <xf numFmtId="2" fontId="4" fillId="0" borderId="27" xfId="50" applyNumberFormat="1" applyFont="1" applyBorder="1" applyAlignment="1">
      <alignment horizontal="center" vertical="center"/>
      <protection/>
    </xf>
    <xf numFmtId="2" fontId="4" fillId="0" borderId="28" xfId="50" applyNumberFormat="1" applyFont="1" applyBorder="1" applyAlignment="1">
      <alignment horizontal="center" vertical="center"/>
      <protection/>
    </xf>
    <xf numFmtId="2" fontId="4" fillId="0" borderId="29" xfId="50" applyNumberFormat="1" applyFont="1" applyFill="1" applyBorder="1" applyAlignment="1">
      <alignment horizontal="center" vertical="center"/>
      <protection/>
    </xf>
    <xf numFmtId="2" fontId="4" fillId="0" borderId="30" xfId="50" applyNumberFormat="1" applyFont="1" applyFill="1" applyBorder="1" applyAlignment="1">
      <alignment horizontal="center" vertical="center"/>
      <protection/>
    </xf>
    <xf numFmtId="4" fontId="4" fillId="0" borderId="31" xfId="50" applyNumberFormat="1" applyFont="1" applyFill="1" applyBorder="1" applyAlignment="1">
      <alignment vertical="center"/>
      <protection/>
    </xf>
    <xf numFmtId="2" fontId="4" fillId="0" borderId="32" xfId="50" applyNumberFormat="1" applyFont="1" applyBorder="1" applyAlignment="1">
      <alignment horizontal="center" vertical="center"/>
      <protection/>
    </xf>
    <xf numFmtId="49" fontId="4" fillId="0" borderId="17" xfId="50" applyNumberFormat="1" applyFont="1" applyBorder="1" applyAlignment="1">
      <alignment horizontal="center" vertical="center"/>
      <protection/>
    </xf>
    <xf numFmtId="2" fontId="4" fillId="0" borderId="17" xfId="50" applyNumberFormat="1" applyFont="1" applyFill="1" applyBorder="1" applyAlignment="1">
      <alignment horizontal="center" vertical="center"/>
      <protection/>
    </xf>
    <xf numFmtId="2" fontId="4" fillId="0" borderId="18" xfId="50" applyNumberFormat="1" applyFont="1" applyFill="1" applyBorder="1" applyAlignment="1">
      <alignment vertical="center"/>
      <protection/>
    </xf>
    <xf numFmtId="4" fontId="4" fillId="0" borderId="16" xfId="50" applyNumberFormat="1" applyFont="1" applyFill="1" applyBorder="1" applyAlignment="1">
      <alignment vertical="center"/>
      <protection/>
    </xf>
    <xf numFmtId="4" fontId="4" fillId="0" borderId="33" xfId="50" applyNumberFormat="1" applyFont="1" applyFill="1" applyBorder="1" applyAlignment="1">
      <alignment vertical="center"/>
      <protection/>
    </xf>
    <xf numFmtId="2" fontId="1" fillId="0" borderId="34" xfId="50" applyNumberFormat="1" applyFont="1" applyBorder="1" applyAlignment="1">
      <alignment horizontal="center" vertical="center"/>
      <protection/>
    </xf>
    <xf numFmtId="2" fontId="1" fillId="0" borderId="35" xfId="50" applyNumberFormat="1" applyFont="1" applyBorder="1" applyAlignment="1">
      <alignment horizontal="center" vertical="center"/>
      <protection/>
    </xf>
    <xf numFmtId="1" fontId="1" fillId="0" borderId="35" xfId="50" applyNumberFormat="1" applyFont="1" applyFill="1" applyBorder="1" applyAlignment="1">
      <alignment horizontal="center" vertical="center"/>
      <protection/>
    </xf>
    <xf numFmtId="2" fontId="1" fillId="0" borderId="22" xfId="50" applyNumberFormat="1" applyFont="1" applyFill="1" applyBorder="1" applyAlignment="1">
      <alignment vertical="center"/>
      <protection/>
    </xf>
    <xf numFmtId="4" fontId="1" fillId="0" borderId="36" xfId="50" applyNumberFormat="1" applyFont="1" applyFill="1" applyBorder="1" applyAlignment="1">
      <alignment vertical="center"/>
      <protection/>
    </xf>
    <xf numFmtId="2" fontId="4" fillId="0" borderId="32" xfId="50" applyNumberFormat="1" applyFont="1" applyFill="1" applyBorder="1" applyAlignment="1">
      <alignment horizontal="center" vertical="center" wrapText="1"/>
      <protection/>
    </xf>
    <xf numFmtId="49" fontId="4" fillId="0" borderId="17" xfId="49" applyNumberFormat="1" applyFont="1" applyFill="1" applyBorder="1" applyAlignment="1">
      <alignment horizontal="center" vertical="center"/>
      <protection/>
    </xf>
    <xf numFmtId="1" fontId="4" fillId="0" borderId="17" xfId="50" applyNumberFormat="1" applyFont="1" applyFill="1" applyBorder="1" applyAlignment="1">
      <alignment horizontal="center" vertical="center" wrapText="1"/>
      <protection/>
    </xf>
    <xf numFmtId="2" fontId="4" fillId="0" borderId="18" xfId="50" applyNumberFormat="1" applyFont="1" applyFill="1" applyBorder="1" applyAlignment="1">
      <alignment horizontal="left" vertical="center" wrapText="1"/>
      <protection/>
    </xf>
    <xf numFmtId="2" fontId="1" fillId="0" borderId="37" xfId="50" applyNumberFormat="1" applyFont="1" applyFill="1" applyBorder="1" applyAlignment="1">
      <alignment horizontal="center" vertical="center"/>
      <protection/>
    </xf>
    <xf numFmtId="2" fontId="4" fillId="0" borderId="15" xfId="50" applyNumberFormat="1" applyFont="1" applyFill="1" applyBorder="1" applyAlignment="1">
      <alignment horizontal="center" vertical="center"/>
      <protection/>
    </xf>
    <xf numFmtId="1" fontId="1" fillId="0" borderId="15" xfId="50" applyNumberFormat="1" applyFont="1" applyFill="1" applyBorder="1" applyAlignment="1">
      <alignment horizontal="center" vertical="center"/>
      <protection/>
    </xf>
    <xf numFmtId="1" fontId="1" fillId="0" borderId="38" xfId="50" applyNumberFormat="1" applyFont="1" applyFill="1" applyBorder="1" applyAlignment="1">
      <alignment horizontal="center" vertical="center"/>
      <protection/>
    </xf>
    <xf numFmtId="4" fontId="1" fillId="0" borderId="39" xfId="50" applyNumberFormat="1" applyFont="1" applyFill="1" applyBorder="1" applyAlignment="1">
      <alignment vertical="center"/>
      <protection/>
    </xf>
    <xf numFmtId="2" fontId="4" fillId="0" borderId="18" xfId="50" applyNumberFormat="1" applyFont="1" applyFill="1" applyBorder="1" applyAlignment="1">
      <alignment horizontal="left" vertical="center"/>
      <protection/>
    </xf>
    <xf numFmtId="49" fontId="4" fillId="0" borderId="17" xfId="50" applyNumberFormat="1" applyFont="1" applyFill="1" applyBorder="1" applyAlignment="1">
      <alignment horizontal="center" vertical="center" wrapText="1"/>
      <protection/>
    </xf>
    <xf numFmtId="2" fontId="4" fillId="0" borderId="18" xfId="50" applyNumberFormat="1" applyFont="1" applyFill="1" applyBorder="1" applyAlignment="1">
      <alignment vertical="center" wrapText="1"/>
      <protection/>
    </xf>
    <xf numFmtId="2" fontId="1" fillId="0" borderId="22" xfId="50" applyNumberFormat="1" applyFont="1" applyFill="1" applyBorder="1" applyAlignment="1">
      <alignment horizontal="left" vertical="center"/>
      <protection/>
    </xf>
    <xf numFmtId="0" fontId="1" fillId="0" borderId="19" xfId="50" applyFont="1" applyFill="1" applyBorder="1" applyAlignment="1">
      <alignment horizontal="left" vertical="center" wrapText="1"/>
      <protection/>
    </xf>
    <xf numFmtId="4" fontId="1" fillId="0" borderId="39" xfId="51" applyNumberFormat="1" applyFont="1" applyFill="1" applyBorder="1" applyAlignment="1">
      <alignment vertical="center"/>
      <protection/>
    </xf>
    <xf numFmtId="0" fontId="4" fillId="0" borderId="32" xfId="50" applyFont="1" applyFill="1" applyBorder="1" applyAlignment="1">
      <alignment horizontal="center" vertical="center"/>
      <protection/>
    </xf>
    <xf numFmtId="0" fontId="4" fillId="0" borderId="17" xfId="50" applyFont="1" applyFill="1" applyBorder="1" applyAlignment="1">
      <alignment horizontal="center" vertical="center"/>
      <protection/>
    </xf>
    <xf numFmtId="0" fontId="4" fillId="0" borderId="18" xfId="50" applyFont="1" applyFill="1" applyBorder="1" applyAlignment="1">
      <alignment vertical="center"/>
      <protection/>
    </xf>
    <xf numFmtId="0" fontId="1" fillId="0" borderId="40" xfId="50" applyFont="1" applyFill="1" applyBorder="1" applyAlignment="1">
      <alignment horizontal="center" vertical="center"/>
      <protection/>
    </xf>
    <xf numFmtId="2" fontId="4" fillId="0" borderId="38" xfId="50" applyNumberFormat="1" applyFont="1" applyBorder="1" applyAlignment="1">
      <alignment horizontal="center" vertical="center"/>
      <protection/>
    </xf>
    <xf numFmtId="2" fontId="1" fillId="0" borderId="41" xfId="50" applyNumberFormat="1" applyFont="1" applyBorder="1" applyAlignment="1">
      <alignment horizontal="center" vertical="center"/>
      <protection/>
    </xf>
    <xf numFmtId="49" fontId="1" fillId="17" borderId="15" xfId="50" applyNumberFormat="1" applyFont="1" applyFill="1" applyBorder="1" applyAlignment="1">
      <alignment horizontal="center" vertical="center"/>
      <protection/>
    </xf>
    <xf numFmtId="0" fontId="4" fillId="0" borderId="18" xfId="50" applyFont="1" applyFill="1" applyBorder="1" applyAlignment="1">
      <alignment vertical="center" wrapText="1"/>
      <protection/>
    </xf>
    <xf numFmtId="2" fontId="4" fillId="0" borderId="15" xfId="50" applyNumberFormat="1" applyFont="1" applyBorder="1" applyAlignment="1">
      <alignment horizontal="center" vertical="center"/>
      <protection/>
    </xf>
    <xf numFmtId="2" fontId="4" fillId="0" borderId="42" xfId="50" applyNumberFormat="1" applyFont="1" applyBorder="1" applyAlignment="1">
      <alignment horizontal="center" vertical="center"/>
      <protection/>
    </xf>
    <xf numFmtId="2" fontId="4" fillId="0" borderId="32" xfId="50" applyNumberFormat="1" applyFont="1" applyBorder="1" applyAlignment="1">
      <alignment horizontal="center" vertical="center" wrapText="1"/>
      <protection/>
    </xf>
    <xf numFmtId="2" fontId="1" fillId="0" borderId="37" xfId="50" applyNumberFormat="1" applyFont="1" applyBorder="1" applyAlignment="1">
      <alignment horizontal="center" vertical="center"/>
      <protection/>
    </xf>
    <xf numFmtId="0" fontId="25" fillId="0" borderId="22" xfId="48" applyFont="1" applyFill="1" applyBorder="1" applyAlignment="1">
      <alignment vertical="center"/>
      <protection/>
    </xf>
    <xf numFmtId="0" fontId="1" fillId="0" borderId="34" xfId="50" applyFont="1" applyFill="1" applyBorder="1" applyAlignment="1">
      <alignment horizontal="center" vertical="center"/>
      <protection/>
    </xf>
    <xf numFmtId="0" fontId="4" fillId="0" borderId="18" xfId="51" applyFont="1" applyFill="1" applyBorder="1" applyAlignment="1">
      <alignment vertical="center" wrapText="1"/>
      <protection/>
    </xf>
    <xf numFmtId="1" fontId="1" fillId="0" borderId="43" xfId="51" applyNumberFormat="1" applyFont="1" applyFill="1" applyBorder="1" applyAlignment="1">
      <alignment horizontal="center" vertical="center"/>
      <protection/>
    </xf>
    <xf numFmtId="0" fontId="1" fillId="0" borderId="22" xfId="51" applyFont="1" applyFill="1" applyBorder="1" applyAlignment="1">
      <alignment vertical="center"/>
      <protection/>
    </xf>
    <xf numFmtId="0" fontId="29" fillId="0" borderId="44" xfId="51" applyFont="1" applyFill="1" applyBorder="1" applyAlignment="1">
      <alignment horizontal="center" vertical="center"/>
      <protection/>
    </xf>
    <xf numFmtId="0" fontId="29" fillId="0" borderId="45" xfId="51" applyFont="1" applyFill="1" applyBorder="1" applyAlignment="1">
      <alignment horizontal="center" vertical="center"/>
      <protection/>
    </xf>
    <xf numFmtId="0" fontId="30" fillId="0" borderId="28" xfId="50" applyFont="1" applyFill="1" applyBorder="1" applyAlignment="1">
      <alignment horizontal="center" vertical="center"/>
      <protection/>
    </xf>
    <xf numFmtId="0" fontId="29" fillId="0" borderId="46" xfId="50" applyFont="1" applyFill="1" applyBorder="1" applyAlignment="1">
      <alignment vertical="center"/>
      <protection/>
    </xf>
    <xf numFmtId="4" fontId="29" fillId="0" borderId="25" xfId="50" applyNumberFormat="1" applyFont="1" applyFill="1" applyBorder="1" applyAlignment="1">
      <alignment vertical="center"/>
      <protection/>
    </xf>
    <xf numFmtId="0" fontId="0" fillId="0" borderId="0" xfId="50" applyFill="1" applyAlignment="1">
      <alignment vertical="center"/>
      <protection/>
    </xf>
    <xf numFmtId="0" fontId="4" fillId="0" borderId="32" xfId="51" applyFont="1" applyFill="1" applyBorder="1" applyAlignment="1">
      <alignment horizontal="center" vertical="center"/>
      <protection/>
    </xf>
    <xf numFmtId="49" fontId="4" fillId="0" borderId="47" xfId="51" applyNumberFormat="1" applyFont="1" applyFill="1" applyBorder="1" applyAlignment="1">
      <alignment horizontal="center" vertical="center"/>
      <protection/>
    </xf>
    <xf numFmtId="0" fontId="1" fillId="0" borderId="48" xfId="51" applyFont="1" applyFill="1" applyBorder="1" applyAlignment="1">
      <alignment horizontal="center" vertical="center"/>
      <protection/>
    </xf>
    <xf numFmtId="49" fontId="1" fillId="0" borderId="49" xfId="51" applyNumberFormat="1" applyFont="1" applyFill="1" applyBorder="1" applyAlignment="1">
      <alignment horizontal="center" vertical="center"/>
      <protection/>
    </xf>
    <xf numFmtId="1" fontId="1" fillId="0" borderId="49" xfId="50" applyNumberFormat="1" applyFont="1" applyFill="1" applyBorder="1" applyAlignment="1">
      <alignment horizontal="center" vertical="center"/>
      <protection/>
    </xf>
    <xf numFmtId="2" fontId="1" fillId="0" borderId="19" xfId="50" applyNumberFormat="1" applyFont="1" applyFill="1" applyBorder="1" applyAlignment="1">
      <alignment horizontal="left" vertical="center"/>
      <protection/>
    </xf>
    <xf numFmtId="2" fontId="1" fillId="0" borderId="13" xfId="47" applyNumberFormat="1" applyFont="1" applyFill="1" applyBorder="1" applyAlignment="1">
      <alignment horizontal="right" vertical="center"/>
      <protection/>
    </xf>
    <xf numFmtId="0" fontId="1" fillId="0" borderId="37" xfId="50" applyFont="1" applyFill="1" applyBorder="1" applyAlignment="1">
      <alignment horizontal="center" vertical="center"/>
      <protection/>
    </xf>
    <xf numFmtId="2" fontId="1" fillId="24" borderId="15" xfId="50" applyNumberFormat="1" applyFont="1" applyFill="1" applyBorder="1" applyAlignment="1">
      <alignment horizontal="center" vertical="center"/>
      <protection/>
    </xf>
    <xf numFmtId="1" fontId="1" fillId="0" borderId="50" xfId="50" applyNumberFormat="1" applyFont="1" applyFill="1" applyBorder="1" applyAlignment="1">
      <alignment horizontal="center" vertical="center"/>
      <protection/>
    </xf>
    <xf numFmtId="2" fontId="1" fillId="0" borderId="20" xfId="50" applyNumberFormat="1" applyFont="1" applyFill="1" applyBorder="1" applyAlignment="1">
      <alignment horizontal="left" vertical="center"/>
      <protection/>
    </xf>
    <xf numFmtId="0" fontId="4" fillId="0" borderId="51" xfId="51" applyFont="1" applyFill="1" applyBorder="1" applyAlignment="1">
      <alignment horizontal="center" vertical="center"/>
      <protection/>
    </xf>
    <xf numFmtId="2" fontId="1" fillId="24" borderId="38" xfId="50" applyNumberFormat="1" applyFont="1" applyFill="1" applyBorder="1" applyAlignment="1">
      <alignment horizontal="center" vertical="center"/>
      <protection/>
    </xf>
    <xf numFmtId="49" fontId="4" fillId="0" borderId="52" xfId="51" applyNumberFormat="1" applyFont="1" applyFill="1" applyBorder="1" applyAlignment="1">
      <alignment horizontal="center" vertical="center"/>
      <protection/>
    </xf>
    <xf numFmtId="0" fontId="4" fillId="0" borderId="42" xfId="50" applyFont="1" applyFill="1" applyBorder="1" applyAlignment="1">
      <alignment horizontal="center" vertical="center"/>
      <protection/>
    </xf>
    <xf numFmtId="0" fontId="4" fillId="0" borderId="53" xfId="50" applyFont="1" applyFill="1" applyBorder="1" applyAlignment="1">
      <alignment vertical="center"/>
      <protection/>
    </xf>
    <xf numFmtId="4" fontId="4" fillId="0" borderId="14" xfId="50" applyNumberFormat="1" applyFont="1" applyFill="1" applyBorder="1" applyAlignment="1">
      <alignment vertical="center"/>
      <protection/>
    </xf>
    <xf numFmtId="4" fontId="4" fillId="0" borderId="14" xfId="51" applyNumberFormat="1" applyFont="1" applyFill="1" applyBorder="1" applyAlignment="1">
      <alignment vertical="center"/>
      <protection/>
    </xf>
    <xf numFmtId="49" fontId="4" fillId="0" borderId="49" xfId="51" applyNumberFormat="1" applyFont="1" applyFill="1" applyBorder="1" applyAlignment="1">
      <alignment horizontal="center" vertical="center"/>
      <protection/>
    </xf>
    <xf numFmtId="0" fontId="1" fillId="0" borderId="36" xfId="50" applyFont="1" applyFill="1" applyBorder="1" applyAlignment="1">
      <alignment horizontal="center" vertical="center"/>
      <protection/>
    </xf>
    <xf numFmtId="2" fontId="1" fillId="24" borderId="35" xfId="50" applyNumberFormat="1" applyFont="1" applyFill="1" applyBorder="1" applyAlignment="1">
      <alignment horizontal="center" vertical="center"/>
      <protection/>
    </xf>
    <xf numFmtId="1" fontId="1" fillId="0" borderId="43" xfId="50" applyNumberFormat="1" applyFont="1" applyFill="1" applyBorder="1" applyAlignment="1">
      <alignment horizontal="center" vertical="center"/>
      <protection/>
    </xf>
    <xf numFmtId="0" fontId="1" fillId="0" borderId="54" xfId="51" applyFont="1" applyFill="1" applyBorder="1" applyAlignment="1">
      <alignment horizontal="center" vertical="center"/>
      <protection/>
    </xf>
    <xf numFmtId="1" fontId="1" fillId="0" borderId="38" xfId="51" applyNumberFormat="1" applyFont="1" applyFill="1" applyBorder="1" applyAlignment="1">
      <alignment horizontal="center" vertical="center"/>
      <protection/>
    </xf>
    <xf numFmtId="1" fontId="1" fillId="0" borderId="49" xfId="51" applyNumberFormat="1" applyFont="1" applyFill="1" applyBorder="1" applyAlignment="1">
      <alignment horizontal="center" vertical="center"/>
      <protection/>
    </xf>
    <xf numFmtId="2" fontId="1" fillId="0" borderId="19" xfId="51" applyNumberFormat="1" applyFont="1" applyBorder="1" applyAlignment="1">
      <alignment horizontal="left" vertical="center"/>
      <protection/>
    </xf>
    <xf numFmtId="2" fontId="1" fillId="24" borderId="55" xfId="50" applyNumberFormat="1" applyFont="1" applyFill="1" applyBorder="1" applyAlignment="1">
      <alignment horizontal="center" vertical="center"/>
      <protection/>
    </xf>
    <xf numFmtId="0" fontId="1" fillId="0" borderId="51" xfId="50" applyFont="1" applyFill="1" applyBorder="1" applyAlignment="1">
      <alignment horizontal="center" vertical="center"/>
      <protection/>
    </xf>
    <xf numFmtId="1" fontId="1" fillId="0" borderId="42" xfId="50" applyNumberFormat="1" applyFont="1" applyFill="1" applyBorder="1" applyAlignment="1">
      <alignment horizontal="center" vertical="center"/>
      <protection/>
    </xf>
    <xf numFmtId="1" fontId="1" fillId="0" borderId="52" xfId="50" applyNumberFormat="1" applyFont="1" applyFill="1" applyBorder="1" applyAlignment="1">
      <alignment horizontal="center" vertical="center"/>
      <protection/>
    </xf>
    <xf numFmtId="2" fontId="1" fillId="0" borderId="53" xfId="50" applyNumberFormat="1" applyFont="1" applyFill="1" applyBorder="1" applyAlignment="1">
      <alignment horizontal="left" vertical="center"/>
      <protection/>
    </xf>
    <xf numFmtId="0" fontId="1" fillId="0" borderId="56" xfId="50" applyFont="1" applyFill="1" applyBorder="1" applyAlignment="1">
      <alignment horizontal="center" vertical="center"/>
      <protection/>
    </xf>
    <xf numFmtId="0" fontId="1" fillId="0" borderId="41" xfId="50" applyFont="1" applyFill="1" applyBorder="1" applyAlignment="1">
      <alignment horizontal="center" vertical="center"/>
      <protection/>
    </xf>
    <xf numFmtId="2" fontId="1" fillId="24" borderId="42" xfId="50" applyNumberFormat="1" applyFont="1" applyFill="1" applyBorder="1" applyAlignment="1">
      <alignment horizontal="center" vertical="center"/>
      <protection/>
    </xf>
    <xf numFmtId="0" fontId="1" fillId="0" borderId="39" xfId="50" applyFont="1" applyFill="1" applyBorder="1" applyAlignment="1">
      <alignment horizontal="center" vertical="center"/>
      <protection/>
    </xf>
    <xf numFmtId="2" fontId="4" fillId="0" borderId="35" xfId="50" applyNumberFormat="1" applyFont="1" applyBorder="1" applyAlignment="1">
      <alignment horizontal="center" vertical="center"/>
      <protection/>
    </xf>
    <xf numFmtId="49" fontId="4" fillId="0" borderId="17" xfId="51" applyNumberFormat="1" applyFont="1" applyFill="1" applyBorder="1" applyAlignment="1">
      <alignment horizontal="center" vertical="center" wrapText="1"/>
      <protection/>
    </xf>
    <xf numFmtId="2" fontId="1" fillId="24" borderId="38" xfId="51" applyNumberFormat="1" applyFont="1" applyFill="1" applyBorder="1" applyAlignment="1">
      <alignment horizontal="center" vertical="center"/>
      <protection/>
    </xf>
    <xf numFmtId="1" fontId="1" fillId="0" borderId="49" xfId="51" applyNumberFormat="1" applyFont="1" applyBorder="1" applyAlignment="1">
      <alignment horizontal="center" vertical="center"/>
      <protection/>
    </xf>
    <xf numFmtId="0" fontId="1" fillId="0" borderId="49" xfId="51" applyFont="1" applyBorder="1" applyAlignment="1">
      <alignment vertical="center"/>
      <protection/>
    </xf>
    <xf numFmtId="2" fontId="1" fillId="24" borderId="15" xfId="51" applyNumberFormat="1" applyFont="1" applyFill="1" applyBorder="1" applyAlignment="1">
      <alignment horizontal="center" vertical="center"/>
      <protection/>
    </xf>
    <xf numFmtId="1" fontId="1" fillId="0" borderId="15" xfId="51" applyNumberFormat="1" applyFont="1" applyFill="1" applyBorder="1" applyAlignment="1">
      <alignment horizontal="center" vertical="center"/>
      <protection/>
    </xf>
    <xf numFmtId="1" fontId="1" fillId="0" borderId="50" xfId="51" applyNumberFormat="1" applyFont="1" applyBorder="1" applyAlignment="1">
      <alignment horizontal="center" vertical="center"/>
      <protection/>
    </xf>
    <xf numFmtId="2" fontId="1" fillId="0" borderId="15" xfId="51" applyNumberFormat="1" applyFont="1" applyBorder="1" applyAlignment="1">
      <alignment horizontal="left" vertical="center"/>
      <protection/>
    </xf>
    <xf numFmtId="0" fontId="30" fillId="0" borderId="31" xfId="51" applyFont="1" applyBorder="1" applyAlignment="1">
      <alignment horizontal="center" vertical="center"/>
      <protection/>
    </xf>
    <xf numFmtId="49" fontId="30" fillId="0" borderId="28" xfId="51" applyNumberFormat="1" applyFont="1" applyBorder="1" applyAlignment="1">
      <alignment horizontal="center" vertical="center"/>
      <protection/>
    </xf>
    <xf numFmtId="0" fontId="29" fillId="0" borderId="28" xfId="51" applyFont="1" applyFill="1" applyBorder="1" applyAlignment="1">
      <alignment horizontal="center" vertical="center"/>
      <protection/>
    </xf>
    <xf numFmtId="0" fontId="29" fillId="0" borderId="45" xfId="51" applyFont="1" applyFill="1" applyBorder="1" applyAlignment="1">
      <alignment vertical="center"/>
      <protection/>
    </xf>
    <xf numFmtId="4" fontId="29" fillId="0" borderId="25" xfId="51" applyNumberFormat="1" applyFont="1" applyFill="1" applyBorder="1" applyAlignment="1">
      <alignment vertical="center"/>
      <protection/>
    </xf>
    <xf numFmtId="0" fontId="4" fillId="0" borderId="33" xfId="51" applyFont="1" applyFill="1" applyBorder="1" applyAlignment="1">
      <alignment horizontal="center" vertical="center"/>
      <protection/>
    </xf>
    <xf numFmtId="0" fontId="1" fillId="0" borderId="39" xfId="51" applyFont="1" applyFill="1" applyBorder="1" applyAlignment="1">
      <alignment horizontal="center" vertical="center"/>
      <protection/>
    </xf>
    <xf numFmtId="1" fontId="1" fillId="0" borderId="35" xfId="51" applyNumberFormat="1" applyFont="1" applyFill="1" applyBorder="1" applyAlignment="1">
      <alignment horizontal="center" vertical="center"/>
      <protection/>
    </xf>
    <xf numFmtId="1" fontId="1" fillId="0" borderId="43" xfId="51" applyNumberFormat="1" applyFont="1" applyBorder="1" applyAlignment="1">
      <alignment horizontal="center" vertical="center"/>
      <protection/>
    </xf>
    <xf numFmtId="2" fontId="1" fillId="0" borderId="35" xfId="51" applyNumberFormat="1" applyFont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1" fontId="4" fillId="0" borderId="17" xfId="50" applyNumberFormat="1" applyFont="1" applyBorder="1" applyAlignment="1">
      <alignment horizontal="center" vertical="center" wrapText="1"/>
      <protection/>
    </xf>
    <xf numFmtId="2" fontId="4" fillId="0" borderId="47" xfId="50" applyNumberFormat="1" applyFont="1" applyFill="1" applyBorder="1" applyAlignment="1">
      <alignment vertical="center" wrapText="1"/>
      <protection/>
    </xf>
    <xf numFmtId="171" fontId="4" fillId="0" borderId="16" xfId="50" applyNumberFormat="1" applyFont="1" applyFill="1" applyBorder="1" applyAlignment="1">
      <alignment vertical="center"/>
      <protection/>
    </xf>
    <xf numFmtId="171" fontId="1" fillId="0" borderId="14" xfId="50" applyNumberFormat="1" applyFont="1" applyFill="1" applyBorder="1" applyAlignment="1">
      <alignment vertical="center"/>
      <protection/>
    </xf>
    <xf numFmtId="171" fontId="1" fillId="0" borderId="10" xfId="50" applyNumberFormat="1" applyFont="1" applyFill="1" applyBorder="1" applyAlignment="1">
      <alignment vertical="center"/>
      <protection/>
    </xf>
    <xf numFmtId="171" fontId="1" fillId="0" borderId="13" xfId="50" applyNumberFormat="1" applyFont="1" applyFill="1" applyBorder="1" applyAlignment="1">
      <alignment vertical="center"/>
      <protection/>
    </xf>
    <xf numFmtId="171" fontId="0" fillId="0" borderId="0" xfId="0" applyNumberFormat="1" applyAlignment="1">
      <alignment vertical="center"/>
    </xf>
    <xf numFmtId="171" fontId="29" fillId="0" borderId="25" xfId="50" applyNumberFormat="1" applyFont="1" applyFill="1" applyBorder="1" applyAlignment="1">
      <alignment vertical="center"/>
      <protection/>
    </xf>
    <xf numFmtId="171" fontId="1" fillId="0" borderId="11" xfId="50" applyNumberFormat="1" applyFont="1" applyFill="1" applyBorder="1" applyAlignment="1">
      <alignment vertical="center"/>
      <protection/>
    </xf>
    <xf numFmtId="0" fontId="1" fillId="0" borderId="57" xfId="50" applyFont="1" applyBorder="1" applyAlignment="1">
      <alignment horizontal="center" vertical="center" textRotation="90" wrapText="1"/>
      <protection/>
    </xf>
    <xf numFmtId="0" fontId="1" fillId="0" borderId="12" xfId="50" applyFont="1" applyBorder="1" applyAlignment="1">
      <alignment horizontal="center" vertical="center" textRotation="90" wrapText="1"/>
      <protection/>
    </xf>
    <xf numFmtId="0" fontId="1" fillId="0" borderId="11" xfId="50" applyFont="1" applyBorder="1" applyAlignment="1">
      <alignment horizontal="center" vertical="center" textRotation="90" wrapText="1"/>
      <protection/>
    </xf>
    <xf numFmtId="2" fontId="4" fillId="0" borderId="30" xfId="50" applyNumberFormat="1" applyFont="1" applyFill="1" applyBorder="1" applyAlignment="1">
      <alignment horizontal="center" vertical="center"/>
      <protection/>
    </xf>
    <xf numFmtId="2" fontId="4" fillId="0" borderId="50" xfId="50" applyNumberFormat="1" applyFont="1" applyFill="1" applyBorder="1" applyAlignment="1">
      <alignment horizontal="center" vertical="center"/>
      <protection/>
    </xf>
    <xf numFmtId="0" fontId="4" fillId="0" borderId="27" xfId="50" applyFont="1" applyFill="1" applyBorder="1" applyAlignment="1">
      <alignment horizontal="center" vertical="center"/>
      <protection/>
    </xf>
    <xf numFmtId="0" fontId="4" fillId="0" borderId="24" xfId="50" applyFont="1" applyFill="1" applyBorder="1" applyAlignment="1">
      <alignment horizontal="center" vertical="center"/>
      <protection/>
    </xf>
    <xf numFmtId="0" fontId="4" fillId="0" borderId="57" xfId="50" applyFont="1" applyFill="1" applyBorder="1" applyAlignment="1">
      <alignment horizontal="center" vertical="center"/>
      <protection/>
    </xf>
    <xf numFmtId="0" fontId="4" fillId="0" borderId="11" xfId="50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26" xfId="50" applyFont="1" applyFill="1" applyBorder="1" applyAlignment="1">
      <alignment horizontal="center" vertical="center"/>
      <protection/>
    </xf>
    <xf numFmtId="0" fontId="4" fillId="0" borderId="58" xfId="50" applyFont="1" applyFill="1" applyBorder="1" applyAlignment="1">
      <alignment horizontal="center" vertical="center"/>
      <protection/>
    </xf>
    <xf numFmtId="2" fontId="4" fillId="0" borderId="59" xfId="50" applyNumberFormat="1" applyFont="1" applyBorder="1" applyAlignment="1">
      <alignment horizontal="center" vertical="center"/>
      <protection/>
    </xf>
    <xf numFmtId="2" fontId="4" fillId="0" borderId="60" xfId="50" applyNumberFormat="1" applyFont="1" applyBorder="1" applyAlignment="1">
      <alignment horizontal="center" vertical="center"/>
      <protection/>
    </xf>
    <xf numFmtId="2" fontId="4" fillId="0" borderId="39" xfId="50" applyNumberFormat="1" applyFont="1" applyBorder="1" applyAlignment="1">
      <alignment horizontal="center" vertical="center"/>
      <protection/>
    </xf>
    <xf numFmtId="2" fontId="4" fillId="0" borderId="29" xfId="50" applyNumberFormat="1" applyFont="1" applyBorder="1" applyAlignment="1">
      <alignment horizontal="center" vertical="center"/>
      <protection/>
    </xf>
    <xf numFmtId="2" fontId="4" fillId="0" borderId="15" xfId="50" applyNumberFormat="1" applyFont="1" applyBorder="1" applyAlignment="1">
      <alignment horizontal="center" vertical="center"/>
      <protection/>
    </xf>
    <xf numFmtId="2" fontId="4" fillId="0" borderId="29" xfId="50" applyNumberFormat="1" applyFont="1" applyFill="1" applyBorder="1" applyAlignment="1">
      <alignment horizontal="center" vertical="center"/>
      <protection/>
    </xf>
    <xf numFmtId="2" fontId="4" fillId="0" borderId="15" xfId="50" applyNumberFormat="1" applyFont="1" applyFill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Kapitola 924" xfId="49"/>
    <cellStyle name="normální_Rozpis výdajů 03 bez PO 2" xfId="50"/>
    <cellStyle name="normální_Rozpis výdajů 03 bez PO 2 2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73"/>
  <sheetViews>
    <sheetView tabSelected="1" zoomScalePageLayoutView="0" workbookViewId="0" topLeftCell="A1">
      <pane xSplit="1" ySplit="8" topLeftCell="B21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230" sqref="I230"/>
    </sheetView>
  </sheetViews>
  <sheetFormatPr defaultColWidth="9.140625" defaultRowHeight="12.75"/>
  <cols>
    <col min="1" max="1" width="3.8515625" style="7" customWidth="1"/>
    <col min="2" max="2" width="3.421875" style="7" bestFit="1" customWidth="1"/>
    <col min="3" max="3" width="10.00390625" style="7" bestFit="1" customWidth="1"/>
    <col min="4" max="4" width="5.57421875" style="138" customWidth="1"/>
    <col min="5" max="5" width="5.7109375" style="138" customWidth="1"/>
    <col min="6" max="6" width="40.00390625" style="138" customWidth="1"/>
    <col min="7" max="7" width="8.421875" style="138" customWidth="1"/>
    <col min="8" max="8" width="8.140625" style="138" customWidth="1"/>
    <col min="9" max="9" width="9.8515625" style="138" customWidth="1"/>
    <col min="10" max="10" width="10.00390625" style="138" customWidth="1"/>
    <col min="11" max="16384" width="9.140625" style="7" customWidth="1"/>
  </cols>
  <sheetData>
    <row r="1" spans="1:10" ht="17.25">
      <c r="A1" s="157" t="s">
        <v>16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2.75">
      <c r="A2" s="21"/>
      <c r="B2" s="21"/>
      <c r="C2" s="21"/>
      <c r="D2" s="22"/>
      <c r="E2" s="22"/>
      <c r="F2" s="22"/>
      <c r="G2" s="22"/>
      <c r="H2" s="22"/>
      <c r="I2" s="23"/>
      <c r="J2" s="23"/>
    </row>
    <row r="3" spans="1:10" ht="15">
      <c r="A3" s="158" t="s">
        <v>17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3.5" thickBot="1">
      <c r="A4" s="24"/>
      <c r="B4" s="24"/>
      <c r="C4" s="24"/>
      <c r="D4" s="25"/>
      <c r="E4" s="25"/>
      <c r="F4" s="25"/>
      <c r="G4" s="25"/>
      <c r="H4" s="25"/>
      <c r="I4" s="25"/>
      <c r="J4" s="26" t="s">
        <v>18</v>
      </c>
    </row>
    <row r="5" spans="1:10" ht="12.75" customHeight="1" thickBot="1">
      <c r="A5" s="161" t="s">
        <v>19</v>
      </c>
      <c r="B5" s="161" t="s">
        <v>1</v>
      </c>
      <c r="C5" s="164" t="s">
        <v>3</v>
      </c>
      <c r="D5" s="166" t="s">
        <v>4</v>
      </c>
      <c r="E5" s="166" t="s">
        <v>5</v>
      </c>
      <c r="F5" s="151" t="s">
        <v>20</v>
      </c>
      <c r="G5" s="153" t="s">
        <v>10</v>
      </c>
      <c r="H5" s="155" t="s">
        <v>11</v>
      </c>
      <c r="I5" s="159" t="s">
        <v>241</v>
      </c>
      <c r="J5" s="160"/>
    </row>
    <row r="6" spans="1:10" ht="12.75" customHeight="1" thickBot="1">
      <c r="A6" s="162"/>
      <c r="B6" s="163"/>
      <c r="C6" s="165"/>
      <c r="D6" s="167"/>
      <c r="E6" s="167"/>
      <c r="F6" s="152"/>
      <c r="G6" s="154"/>
      <c r="H6" s="156"/>
      <c r="I6" s="27" t="s">
        <v>6</v>
      </c>
      <c r="J6" s="28" t="s">
        <v>12</v>
      </c>
    </row>
    <row r="7" spans="1:10" ht="12.75" customHeight="1" thickBot="1">
      <c r="A7" s="29">
        <v>920</v>
      </c>
      <c r="B7" s="30" t="s">
        <v>2</v>
      </c>
      <c r="C7" s="31" t="s">
        <v>3</v>
      </c>
      <c r="D7" s="32" t="s">
        <v>4</v>
      </c>
      <c r="E7" s="32" t="s">
        <v>5</v>
      </c>
      <c r="F7" s="33" t="s">
        <v>21</v>
      </c>
      <c r="G7" s="34">
        <f>G8+G10+G12+G14+G16+G18+G21+G24+G26+G29+G31+G33+G35+G37+G39+G41+G43+G45+G47+G371</f>
        <v>125605</v>
      </c>
      <c r="H7" s="34">
        <f>H8+H10+H12+H14+H16+H18+H21+H24+H26+H29+H31+H33+H35+H37+H39+H41+H43+H45+H47+H371</f>
        <v>611256.74464</v>
      </c>
      <c r="I7" s="34">
        <f>I8+I10+I12+I14+I16+I18+I21+I24+I26+I29+I31+I33+I35+I37+I39+I41+I43+I45+I47+I371</f>
        <v>2.2737367544323206E-13</v>
      </c>
      <c r="J7" s="39">
        <f>J8+J10+J12+J14+J16+J18+J21+J24+J26+J29+J31+J33+J35+J37+J39+J41+J43+J45+J47+J371</f>
        <v>611256.7446399999</v>
      </c>
    </row>
    <row r="8" spans="1:10" ht="12" customHeight="1">
      <c r="A8" s="148" t="s">
        <v>8</v>
      </c>
      <c r="B8" s="35" t="s">
        <v>2</v>
      </c>
      <c r="C8" s="36" t="s">
        <v>22</v>
      </c>
      <c r="D8" s="37" t="s">
        <v>0</v>
      </c>
      <c r="E8" s="37" t="s">
        <v>0</v>
      </c>
      <c r="F8" s="38" t="s">
        <v>23</v>
      </c>
      <c r="G8" s="39">
        <f>SUM(G9:G9)</f>
        <v>500</v>
      </c>
      <c r="H8" s="40">
        <f>SUM(H9:H9)</f>
        <v>7500</v>
      </c>
      <c r="I8" s="40">
        <f>SUM(I9:I9)</f>
        <v>0</v>
      </c>
      <c r="J8" s="39">
        <f>SUM(J9:J9)</f>
        <v>7500</v>
      </c>
    </row>
    <row r="9" spans="1:10" ht="12" customHeight="1" thickBot="1">
      <c r="A9" s="149"/>
      <c r="B9" s="41"/>
      <c r="C9" s="42"/>
      <c r="D9" s="43">
        <v>2212</v>
      </c>
      <c r="E9" s="43">
        <v>6130</v>
      </c>
      <c r="F9" s="44" t="s">
        <v>24</v>
      </c>
      <c r="G9" s="1">
        <v>500</v>
      </c>
      <c r="H9" s="45">
        <f>500+7000</f>
        <v>7500</v>
      </c>
      <c r="I9" s="45"/>
      <c r="J9" s="1">
        <f>H9+I9</f>
        <v>7500</v>
      </c>
    </row>
    <row r="10" spans="1:10" ht="20.25">
      <c r="A10" s="149"/>
      <c r="B10" s="46" t="s">
        <v>2</v>
      </c>
      <c r="C10" s="47" t="s">
        <v>25</v>
      </c>
      <c r="D10" s="48" t="s">
        <v>0</v>
      </c>
      <c r="E10" s="48" t="s">
        <v>0</v>
      </c>
      <c r="F10" s="49" t="s">
        <v>236</v>
      </c>
      <c r="G10" s="40">
        <f>G11</f>
        <v>0</v>
      </c>
      <c r="H10" s="40">
        <f>SUM(H11:H11)</f>
        <v>368.469</v>
      </c>
      <c r="I10" s="40">
        <f>SUM(I11:I11)</f>
        <v>0</v>
      </c>
      <c r="J10" s="39">
        <f>J11</f>
        <v>368.469</v>
      </c>
    </row>
    <row r="11" spans="1:10" ht="12" customHeight="1" thickBot="1">
      <c r="A11" s="149"/>
      <c r="B11" s="50"/>
      <c r="C11" s="51"/>
      <c r="D11" s="52">
        <v>2212</v>
      </c>
      <c r="E11" s="53">
        <v>5171</v>
      </c>
      <c r="F11" s="15" t="s">
        <v>13</v>
      </c>
      <c r="G11" s="54">
        <v>0</v>
      </c>
      <c r="H11" s="4">
        <v>368.469</v>
      </c>
      <c r="I11" s="4"/>
      <c r="J11" s="1">
        <f>H11+I11</f>
        <v>368.469</v>
      </c>
    </row>
    <row r="12" spans="1:10" ht="12" customHeight="1">
      <c r="A12" s="149"/>
      <c r="B12" s="46" t="s">
        <v>2</v>
      </c>
      <c r="C12" s="47" t="s">
        <v>26</v>
      </c>
      <c r="D12" s="48" t="s">
        <v>0</v>
      </c>
      <c r="E12" s="48" t="s">
        <v>0</v>
      </c>
      <c r="F12" s="55" t="s">
        <v>27</v>
      </c>
      <c r="G12" s="40">
        <f>G13</f>
        <v>0</v>
      </c>
      <c r="H12" s="40">
        <f>SUM(H13:H13)</f>
        <v>60</v>
      </c>
      <c r="I12" s="40">
        <f>SUM(I13:I13)</f>
        <v>0</v>
      </c>
      <c r="J12" s="39">
        <f>J13</f>
        <v>60</v>
      </c>
    </row>
    <row r="13" spans="1:10" ht="12" customHeight="1" thickBot="1">
      <c r="A13" s="149"/>
      <c r="B13" s="50"/>
      <c r="C13" s="51"/>
      <c r="D13" s="52">
        <v>2212</v>
      </c>
      <c r="E13" s="53">
        <v>6121</v>
      </c>
      <c r="F13" s="15" t="s">
        <v>13</v>
      </c>
      <c r="G13" s="54">
        <v>0</v>
      </c>
      <c r="H13" s="4">
        <v>60</v>
      </c>
      <c r="I13" s="4"/>
      <c r="J13" s="1">
        <f>H13+I13</f>
        <v>60</v>
      </c>
    </row>
    <row r="14" spans="1:10" ht="12" customHeight="1">
      <c r="A14" s="149"/>
      <c r="B14" s="46" t="s">
        <v>2</v>
      </c>
      <c r="C14" s="56" t="s">
        <v>28</v>
      </c>
      <c r="D14" s="48" t="s">
        <v>0</v>
      </c>
      <c r="E14" s="48" t="s">
        <v>0</v>
      </c>
      <c r="F14" s="57" t="s">
        <v>29</v>
      </c>
      <c r="G14" s="40">
        <f>G15</f>
        <v>0</v>
      </c>
      <c r="H14" s="40">
        <f>H15</f>
        <v>43.2</v>
      </c>
      <c r="I14" s="40">
        <f>SUM(I15:I15)</f>
        <v>0</v>
      </c>
      <c r="J14" s="39">
        <f>J15</f>
        <v>43.2</v>
      </c>
    </row>
    <row r="15" spans="1:10" ht="12" customHeight="1" thickBot="1">
      <c r="A15" s="149"/>
      <c r="B15" s="50"/>
      <c r="C15" s="51"/>
      <c r="D15" s="52">
        <v>2212</v>
      </c>
      <c r="E15" s="43">
        <v>6119</v>
      </c>
      <c r="F15" s="58" t="s">
        <v>30</v>
      </c>
      <c r="G15" s="54">
        <v>0</v>
      </c>
      <c r="H15" s="54">
        <v>43.2</v>
      </c>
      <c r="I15" s="4"/>
      <c r="J15" s="1">
        <f>H15+I15</f>
        <v>43.2</v>
      </c>
    </row>
    <row r="16" spans="1:10" ht="12" customHeight="1">
      <c r="A16" s="149"/>
      <c r="B16" s="46" t="s">
        <v>2</v>
      </c>
      <c r="C16" s="56" t="s">
        <v>31</v>
      </c>
      <c r="D16" s="48" t="s">
        <v>0</v>
      </c>
      <c r="E16" s="48" t="s">
        <v>0</v>
      </c>
      <c r="F16" s="57" t="s">
        <v>32</v>
      </c>
      <c r="G16" s="40">
        <f>G17</f>
        <v>0</v>
      </c>
      <c r="H16" s="40">
        <f>H17</f>
        <v>39.97973999999999</v>
      </c>
      <c r="I16" s="40">
        <f>SUM(I17:I17)</f>
        <v>0</v>
      </c>
      <c r="J16" s="39">
        <f>J17</f>
        <v>39.97973999999999</v>
      </c>
    </row>
    <row r="17" spans="1:10" ht="12" customHeight="1" thickBot="1">
      <c r="A17" s="149"/>
      <c r="B17" s="50"/>
      <c r="C17" s="51"/>
      <c r="D17" s="52">
        <v>2212</v>
      </c>
      <c r="E17" s="43">
        <v>6121</v>
      </c>
      <c r="F17" s="59" t="s">
        <v>13</v>
      </c>
      <c r="G17" s="54">
        <v>0</v>
      </c>
      <c r="H17" s="60">
        <f>92.64974-50.5-2.17</f>
        <v>39.97973999999999</v>
      </c>
      <c r="I17" s="4"/>
      <c r="J17" s="1">
        <f>H17+I17</f>
        <v>39.97973999999999</v>
      </c>
    </row>
    <row r="18" spans="1:10" ht="12" customHeight="1">
      <c r="A18" s="149"/>
      <c r="B18" s="61" t="s">
        <v>2</v>
      </c>
      <c r="C18" s="56" t="s">
        <v>33</v>
      </c>
      <c r="D18" s="62" t="s">
        <v>0</v>
      </c>
      <c r="E18" s="62" t="s">
        <v>0</v>
      </c>
      <c r="F18" s="63" t="s">
        <v>34</v>
      </c>
      <c r="G18" s="39">
        <f>SUM(G19:G20)</f>
        <v>0</v>
      </c>
      <c r="H18" s="8">
        <f>SUM(H19:H20)</f>
        <v>38914.58899999999</v>
      </c>
      <c r="I18" s="8">
        <f>SUM(I19:I20)</f>
        <v>0</v>
      </c>
      <c r="J18" s="8">
        <f>SUM(J19:J20)</f>
        <v>38914.58899999999</v>
      </c>
    </row>
    <row r="19" spans="1:10" ht="12" customHeight="1">
      <c r="A19" s="149"/>
      <c r="B19" s="64"/>
      <c r="C19" s="65"/>
      <c r="D19" s="53">
        <v>2212</v>
      </c>
      <c r="E19" s="53">
        <v>6121</v>
      </c>
      <c r="F19" s="15" t="s">
        <v>13</v>
      </c>
      <c r="G19" s="4">
        <v>0</v>
      </c>
      <c r="H19" s="4">
        <v>26345.38</v>
      </c>
      <c r="I19" s="4"/>
      <c r="J19" s="4">
        <f>H19+I19</f>
        <v>26345.38</v>
      </c>
    </row>
    <row r="20" spans="1:10" ht="12" customHeight="1" thickBot="1">
      <c r="A20" s="149"/>
      <c r="B20" s="66"/>
      <c r="C20" s="67" t="s">
        <v>35</v>
      </c>
      <c r="D20" s="52">
        <v>2212</v>
      </c>
      <c r="E20" s="6">
        <v>6121</v>
      </c>
      <c r="F20" s="16" t="s">
        <v>36</v>
      </c>
      <c r="G20" s="54">
        <v>0</v>
      </c>
      <c r="H20" s="54">
        <f>48122.829-35553.62</f>
        <v>12569.208999999995</v>
      </c>
      <c r="I20" s="17"/>
      <c r="J20" s="5">
        <f>H20+I20</f>
        <v>12569.208999999995</v>
      </c>
    </row>
    <row r="21" spans="1:10" ht="12" customHeight="1">
      <c r="A21" s="149"/>
      <c r="B21" s="61" t="s">
        <v>2</v>
      </c>
      <c r="C21" s="56" t="s">
        <v>37</v>
      </c>
      <c r="D21" s="62" t="s">
        <v>0</v>
      </c>
      <c r="E21" s="62" t="s">
        <v>0</v>
      </c>
      <c r="F21" s="68" t="s">
        <v>38</v>
      </c>
      <c r="G21" s="39">
        <f>SUM(G22:G23)</f>
        <v>14090</v>
      </c>
      <c r="H21" s="8">
        <f>SUM(H22:H23)</f>
        <v>98096.338</v>
      </c>
      <c r="I21" s="8">
        <f>SUM(I22:I23)</f>
        <v>0</v>
      </c>
      <c r="J21" s="8">
        <f>SUM(J22:J23)</f>
        <v>98096.338</v>
      </c>
    </row>
    <row r="22" spans="1:10" ht="12" customHeight="1">
      <c r="A22" s="149"/>
      <c r="B22" s="64"/>
      <c r="C22" s="65"/>
      <c r="D22" s="53">
        <v>2212</v>
      </c>
      <c r="E22" s="53">
        <v>6121</v>
      </c>
      <c r="F22" s="15" t="s">
        <v>13</v>
      </c>
      <c r="G22" s="4">
        <v>14090</v>
      </c>
      <c r="H22" s="4">
        <f>14090+75470.03</f>
        <v>89560.03</v>
      </c>
      <c r="I22" s="4"/>
      <c r="J22" s="4">
        <f>H22+I22</f>
        <v>89560.03</v>
      </c>
    </row>
    <row r="23" spans="1:10" ht="12" customHeight="1" thickBot="1">
      <c r="A23" s="149"/>
      <c r="B23" s="66"/>
      <c r="C23" s="67" t="s">
        <v>35</v>
      </c>
      <c r="D23" s="52">
        <v>2212</v>
      </c>
      <c r="E23" s="6">
        <v>6121</v>
      </c>
      <c r="F23" s="16" t="s">
        <v>36</v>
      </c>
      <c r="G23" s="54">
        <v>0</v>
      </c>
      <c r="H23" s="54">
        <f>92309.827-83773.519</f>
        <v>8536.308000000005</v>
      </c>
      <c r="I23" s="17"/>
      <c r="J23" s="5">
        <f>H23+I23</f>
        <v>8536.308000000005</v>
      </c>
    </row>
    <row r="24" spans="1:10" ht="24.75" customHeight="1">
      <c r="A24" s="149"/>
      <c r="B24" s="61" t="s">
        <v>2</v>
      </c>
      <c r="C24" s="56" t="s">
        <v>39</v>
      </c>
      <c r="D24" s="62" t="s">
        <v>0</v>
      </c>
      <c r="E24" s="62" t="s">
        <v>0</v>
      </c>
      <c r="F24" s="57" t="s">
        <v>40</v>
      </c>
      <c r="G24" s="40">
        <f>SUM(G25:G25)</f>
        <v>36310</v>
      </c>
      <c r="H24" s="40">
        <f>SUM(H25:H25)</f>
        <v>69775.03</v>
      </c>
      <c r="I24" s="40">
        <f>SUM(I25:I25)</f>
        <v>0</v>
      </c>
      <c r="J24" s="39">
        <f>J25</f>
        <v>69775.03</v>
      </c>
    </row>
    <row r="25" spans="1:10" ht="12" customHeight="1" thickBot="1">
      <c r="A25" s="149"/>
      <c r="B25" s="64"/>
      <c r="C25" s="69"/>
      <c r="D25" s="53">
        <v>2212</v>
      </c>
      <c r="E25" s="53">
        <v>6121</v>
      </c>
      <c r="F25" s="15" t="s">
        <v>13</v>
      </c>
      <c r="G25" s="4">
        <v>36310</v>
      </c>
      <c r="H25" s="4">
        <f>36310+33465.03</f>
        <v>69775.03</v>
      </c>
      <c r="I25" s="4"/>
      <c r="J25" s="1">
        <f>H25+I25</f>
        <v>69775.03</v>
      </c>
    </row>
    <row r="26" spans="1:10" ht="24.75" customHeight="1">
      <c r="A26" s="149"/>
      <c r="B26" s="61" t="s">
        <v>2</v>
      </c>
      <c r="C26" s="56" t="s">
        <v>41</v>
      </c>
      <c r="D26" s="62" t="s">
        <v>0</v>
      </c>
      <c r="E26" s="62" t="s">
        <v>0</v>
      </c>
      <c r="F26" s="57" t="s">
        <v>42</v>
      </c>
      <c r="G26" s="39">
        <f>SUM(G27:G28)</f>
        <v>17205</v>
      </c>
      <c r="H26" s="8">
        <f>SUM(H27:H28)</f>
        <v>95864.098</v>
      </c>
      <c r="I26" s="8">
        <f>SUM(I27:I28)</f>
        <v>0</v>
      </c>
      <c r="J26" s="8">
        <f>SUM(J27:J28)</f>
        <v>95864.098</v>
      </c>
    </row>
    <row r="27" spans="1:10" ht="12" customHeight="1">
      <c r="A27" s="149"/>
      <c r="B27" s="64"/>
      <c r="C27" s="70"/>
      <c r="D27" s="53">
        <v>2212</v>
      </c>
      <c r="E27" s="53">
        <v>6121</v>
      </c>
      <c r="F27" s="15" t="s">
        <v>13</v>
      </c>
      <c r="G27" s="4">
        <v>17205</v>
      </c>
      <c r="H27" s="4">
        <f>17205+23200.04</f>
        <v>40405.04</v>
      </c>
      <c r="I27" s="4"/>
      <c r="J27" s="4">
        <f>H27+I27</f>
        <v>40405.04</v>
      </c>
    </row>
    <row r="28" spans="1:10" ht="12" customHeight="1" thickBot="1">
      <c r="A28" s="149"/>
      <c r="B28" s="66"/>
      <c r="C28" s="67" t="s">
        <v>35</v>
      </c>
      <c r="D28" s="52">
        <v>2212</v>
      </c>
      <c r="E28" s="6">
        <v>6121</v>
      </c>
      <c r="F28" s="16" t="s">
        <v>36</v>
      </c>
      <c r="G28" s="54">
        <v>0</v>
      </c>
      <c r="H28" s="54">
        <f>80090.632-24631.574</f>
        <v>55459.058</v>
      </c>
      <c r="I28" s="17"/>
      <c r="J28" s="5">
        <f>H28+I28</f>
        <v>55459.058</v>
      </c>
    </row>
    <row r="29" spans="1:10" ht="24.75" customHeight="1">
      <c r="A29" s="149"/>
      <c r="B29" s="71" t="s">
        <v>2</v>
      </c>
      <c r="C29" s="56" t="s">
        <v>43</v>
      </c>
      <c r="D29" s="48" t="s">
        <v>0</v>
      </c>
      <c r="E29" s="48" t="s">
        <v>0</v>
      </c>
      <c r="F29" s="57" t="s">
        <v>44</v>
      </c>
      <c r="G29" s="39">
        <f>SUM(G30:G30)</f>
        <v>0</v>
      </c>
      <c r="H29" s="39">
        <f>SUM(H30:H30)</f>
        <v>605</v>
      </c>
      <c r="I29" s="40">
        <f>SUM(I30:I30)</f>
        <v>0</v>
      </c>
      <c r="J29" s="39">
        <f>J30</f>
        <v>605</v>
      </c>
    </row>
    <row r="30" spans="1:10" ht="12" customHeight="1" thickBot="1">
      <c r="A30" s="149"/>
      <c r="B30" s="72"/>
      <c r="C30" s="69"/>
      <c r="D30" s="52">
        <v>2242</v>
      </c>
      <c r="E30" s="43">
        <v>6119</v>
      </c>
      <c r="F30" s="58" t="s">
        <v>30</v>
      </c>
      <c r="G30" s="1">
        <v>0</v>
      </c>
      <c r="H30" s="1">
        <v>605</v>
      </c>
      <c r="I30" s="45"/>
      <c r="J30" s="1">
        <f>H30+I30</f>
        <v>605</v>
      </c>
    </row>
    <row r="31" spans="1:10" ht="24.75" customHeight="1">
      <c r="A31" s="149"/>
      <c r="B31" s="71" t="s">
        <v>2</v>
      </c>
      <c r="C31" s="56" t="s">
        <v>239</v>
      </c>
      <c r="D31" s="139" t="s">
        <v>0</v>
      </c>
      <c r="E31" s="139" t="s">
        <v>0</v>
      </c>
      <c r="F31" s="140" t="s">
        <v>240</v>
      </c>
      <c r="G31" s="39">
        <f>SUM(G32:G32)</f>
        <v>0</v>
      </c>
      <c r="H31" s="39">
        <f>SUM(H32:H32)</f>
        <v>0</v>
      </c>
      <c r="I31" s="40">
        <f>SUM(I32:I32)</f>
        <v>0</v>
      </c>
      <c r="J31" s="39">
        <f>J32</f>
        <v>0</v>
      </c>
    </row>
    <row r="32" spans="1:10" ht="12" customHeight="1" thickBot="1">
      <c r="A32" s="149"/>
      <c r="B32" s="72"/>
      <c r="C32" s="69"/>
      <c r="D32" s="52">
        <v>2212</v>
      </c>
      <c r="E32" s="43">
        <v>6351</v>
      </c>
      <c r="F32" s="73" t="s">
        <v>15</v>
      </c>
      <c r="G32" s="1">
        <v>0</v>
      </c>
      <c r="H32" s="1">
        <v>0</v>
      </c>
      <c r="I32" s="45"/>
      <c r="J32" s="1">
        <f>H32+I32</f>
        <v>0</v>
      </c>
    </row>
    <row r="33" spans="1:10" ht="12" customHeight="1">
      <c r="A33" s="149"/>
      <c r="B33" s="71" t="s">
        <v>2</v>
      </c>
      <c r="C33" s="56" t="s">
        <v>45</v>
      </c>
      <c r="D33" s="48" t="s">
        <v>0</v>
      </c>
      <c r="E33" s="48" t="s">
        <v>0</v>
      </c>
      <c r="F33" s="57" t="s">
        <v>46</v>
      </c>
      <c r="G33" s="39">
        <f>SUM(G34:G34)</f>
        <v>22000</v>
      </c>
      <c r="H33" s="39">
        <f>SUM(H34:H34)</f>
        <v>18859.2604</v>
      </c>
      <c r="I33" s="40">
        <f>SUM(I34:I34)</f>
        <v>0</v>
      </c>
      <c r="J33" s="39">
        <f>J34</f>
        <v>18859.2604</v>
      </c>
    </row>
    <row r="34" spans="1:10" ht="12" customHeight="1" thickBot="1">
      <c r="A34" s="149"/>
      <c r="B34" s="72"/>
      <c r="C34" s="69" t="s">
        <v>47</v>
      </c>
      <c r="D34" s="52">
        <v>2212</v>
      </c>
      <c r="E34" s="43">
        <v>6342</v>
      </c>
      <c r="F34" s="73" t="s">
        <v>48</v>
      </c>
      <c r="G34" s="1">
        <v>22000</v>
      </c>
      <c r="H34" s="1">
        <f>22000+3859.2604-7000</f>
        <v>18859.2604</v>
      </c>
      <c r="I34" s="45"/>
      <c r="J34" s="1">
        <f>H34+I34</f>
        <v>18859.2604</v>
      </c>
    </row>
    <row r="35" spans="1:10" ht="24.75" customHeight="1">
      <c r="A35" s="149"/>
      <c r="B35" s="61" t="s">
        <v>2</v>
      </c>
      <c r="C35" s="56" t="s">
        <v>49</v>
      </c>
      <c r="D35" s="62" t="s">
        <v>0</v>
      </c>
      <c r="E35" s="62" t="s">
        <v>0</v>
      </c>
      <c r="F35" s="57" t="s">
        <v>50</v>
      </c>
      <c r="G35" s="40">
        <f>SUM(G36:G36)</f>
        <v>4500</v>
      </c>
      <c r="H35" s="40">
        <f>SUM(H36:H36)</f>
        <v>4156.19</v>
      </c>
      <c r="I35" s="40">
        <f>SUM(I36:I36)</f>
        <v>0</v>
      </c>
      <c r="J35" s="39">
        <f>J36</f>
        <v>4156.19</v>
      </c>
    </row>
    <row r="36" spans="1:10" ht="12" customHeight="1" thickBot="1">
      <c r="A36" s="149"/>
      <c r="B36" s="74"/>
      <c r="C36" s="69"/>
      <c r="D36" s="52">
        <v>2212</v>
      </c>
      <c r="E36" s="43">
        <v>6121</v>
      </c>
      <c r="F36" s="15" t="s">
        <v>13</v>
      </c>
      <c r="G36" s="1">
        <v>4500</v>
      </c>
      <c r="H36" s="1">
        <f>4500-283.81-60</f>
        <v>4156.19</v>
      </c>
      <c r="I36" s="1"/>
      <c r="J36" s="1">
        <f>H36+I36</f>
        <v>4156.19</v>
      </c>
    </row>
    <row r="37" spans="1:10" ht="12" customHeight="1">
      <c r="A37" s="149"/>
      <c r="B37" s="61" t="s">
        <v>2</v>
      </c>
      <c r="C37" s="56" t="s">
        <v>51</v>
      </c>
      <c r="D37" s="62" t="s">
        <v>0</v>
      </c>
      <c r="E37" s="62" t="s">
        <v>0</v>
      </c>
      <c r="F37" s="63" t="s">
        <v>52</v>
      </c>
      <c r="G37" s="40">
        <f>SUM(G38:G38)</f>
        <v>9150</v>
      </c>
      <c r="H37" s="40">
        <f>SUM(H38:H38)</f>
        <v>60249.337</v>
      </c>
      <c r="I37" s="40">
        <f>SUM(I38:I38)</f>
        <v>0</v>
      </c>
      <c r="J37" s="39">
        <f>J38</f>
        <v>60249.337</v>
      </c>
    </row>
    <row r="38" spans="1:10" ht="12" customHeight="1" thickBot="1">
      <c r="A38" s="149"/>
      <c r="B38" s="74"/>
      <c r="C38" s="69"/>
      <c r="D38" s="52">
        <v>2212</v>
      </c>
      <c r="E38" s="43">
        <v>6121</v>
      </c>
      <c r="F38" s="15" t="s">
        <v>13</v>
      </c>
      <c r="G38" s="1">
        <v>9150</v>
      </c>
      <c r="H38" s="1">
        <f>9150+599.337+7000+43500</f>
        <v>60249.337</v>
      </c>
      <c r="I38" s="1"/>
      <c r="J38" s="1">
        <f>H38+I38</f>
        <v>60249.337</v>
      </c>
    </row>
    <row r="39" spans="1:10" ht="12" customHeight="1">
      <c r="A39" s="149"/>
      <c r="B39" s="61" t="s">
        <v>2</v>
      </c>
      <c r="C39" s="56" t="s">
        <v>53</v>
      </c>
      <c r="D39" s="62" t="s">
        <v>0</v>
      </c>
      <c r="E39" s="62" t="s">
        <v>0</v>
      </c>
      <c r="F39" s="63" t="s">
        <v>54</v>
      </c>
      <c r="G39" s="40">
        <f>SUM(G40:G40)</f>
        <v>6400</v>
      </c>
      <c r="H39" s="40">
        <f>SUM(H40:H40)</f>
        <v>15150.55</v>
      </c>
      <c r="I39" s="40">
        <f>SUM(I40:I40)</f>
        <v>0</v>
      </c>
      <c r="J39" s="39">
        <f>J40</f>
        <v>15150.55</v>
      </c>
    </row>
    <row r="40" spans="1:10" ht="12" customHeight="1" thickBot="1">
      <c r="A40" s="149"/>
      <c r="B40" s="74"/>
      <c r="C40" s="69"/>
      <c r="D40" s="52">
        <v>2212</v>
      </c>
      <c r="E40" s="43">
        <v>6121</v>
      </c>
      <c r="F40" s="15" t="s">
        <v>13</v>
      </c>
      <c r="G40" s="1">
        <v>6400</v>
      </c>
      <c r="H40" s="1">
        <f>6400+550.55+8200</f>
        <v>15150.55</v>
      </c>
      <c r="I40" s="1"/>
      <c r="J40" s="1">
        <f>H40+I40</f>
        <v>15150.55</v>
      </c>
    </row>
    <row r="41" spans="1:10" ht="12" customHeight="1">
      <c r="A41" s="149"/>
      <c r="B41" s="61" t="s">
        <v>2</v>
      </c>
      <c r="C41" s="56" t="s">
        <v>55</v>
      </c>
      <c r="D41" s="62" t="s">
        <v>0</v>
      </c>
      <c r="E41" s="62" t="s">
        <v>0</v>
      </c>
      <c r="F41" s="63" t="s">
        <v>56</v>
      </c>
      <c r="G41" s="40">
        <f>SUM(G42:G42)</f>
        <v>15450</v>
      </c>
      <c r="H41" s="40">
        <f>SUM(H42:H42)</f>
        <v>25793.881999999998</v>
      </c>
      <c r="I41" s="40">
        <f>SUM(I42:I42)</f>
        <v>0</v>
      </c>
      <c r="J41" s="39">
        <f>J42</f>
        <v>25793.881999999998</v>
      </c>
    </row>
    <row r="42" spans="1:10" ht="12" customHeight="1" thickBot="1">
      <c r="A42" s="149"/>
      <c r="B42" s="74"/>
      <c r="C42" s="69"/>
      <c r="D42" s="52">
        <v>2212</v>
      </c>
      <c r="E42" s="43">
        <v>6121</v>
      </c>
      <c r="F42" s="15" t="s">
        <v>13</v>
      </c>
      <c r="G42" s="1">
        <v>15450</v>
      </c>
      <c r="H42" s="1">
        <f>15450+343.882+10000</f>
        <v>25793.881999999998</v>
      </c>
      <c r="I42" s="1"/>
      <c r="J42" s="1">
        <f>H42+I42</f>
        <v>25793.881999999998</v>
      </c>
    </row>
    <row r="43" spans="1:10" ht="24.75" customHeight="1">
      <c r="A43" s="149"/>
      <c r="B43" s="61" t="s">
        <v>2</v>
      </c>
      <c r="C43" s="56" t="s">
        <v>57</v>
      </c>
      <c r="D43" s="62" t="s">
        <v>0</v>
      </c>
      <c r="E43" s="62" t="s">
        <v>0</v>
      </c>
      <c r="F43" s="75" t="s">
        <v>58</v>
      </c>
      <c r="G43" s="40">
        <f>SUM(G44:G44)</f>
        <v>0</v>
      </c>
      <c r="H43" s="40">
        <f>SUM(H44:H44)</f>
        <v>1607.1</v>
      </c>
      <c r="I43" s="40">
        <f>SUM(I44:I44)</f>
        <v>0</v>
      </c>
      <c r="J43" s="39">
        <f>J44</f>
        <v>1607.1</v>
      </c>
    </row>
    <row r="44" spans="1:10" ht="12" customHeight="1" thickBot="1">
      <c r="A44" s="149"/>
      <c r="B44" s="74"/>
      <c r="C44" s="69"/>
      <c r="D44" s="52">
        <v>2212</v>
      </c>
      <c r="E44" s="76">
        <v>5331</v>
      </c>
      <c r="F44" s="77" t="s">
        <v>59</v>
      </c>
      <c r="G44" s="1">
        <v>0</v>
      </c>
      <c r="H44" s="1">
        <f>3000-592.9-800</f>
        <v>1607.1</v>
      </c>
      <c r="I44" s="1"/>
      <c r="J44" s="1">
        <f>H44+I44</f>
        <v>1607.1</v>
      </c>
    </row>
    <row r="45" spans="1:10" ht="24.75" customHeight="1">
      <c r="A45" s="149"/>
      <c r="B45" s="61" t="s">
        <v>2</v>
      </c>
      <c r="C45" s="56" t="s">
        <v>237</v>
      </c>
      <c r="D45" s="62" t="s">
        <v>0</v>
      </c>
      <c r="E45" s="62" t="s">
        <v>0</v>
      </c>
      <c r="F45" s="75" t="s">
        <v>238</v>
      </c>
      <c r="G45" s="40">
        <f>SUM(G46:G46)</f>
        <v>0</v>
      </c>
      <c r="H45" s="40">
        <f>SUM(H46:H46)</f>
        <v>800</v>
      </c>
      <c r="I45" s="40">
        <f>SUM(I46:I46)</f>
        <v>0</v>
      </c>
      <c r="J45" s="39">
        <f>J46</f>
        <v>800</v>
      </c>
    </row>
    <row r="46" spans="1:10" ht="12" customHeight="1" thickBot="1">
      <c r="A46" s="149"/>
      <c r="B46" s="74"/>
      <c r="C46" s="69"/>
      <c r="D46" s="52">
        <v>2212</v>
      </c>
      <c r="E46" s="76">
        <v>6351</v>
      </c>
      <c r="F46" s="77" t="s">
        <v>15</v>
      </c>
      <c r="G46" s="1">
        <v>0</v>
      </c>
      <c r="H46" s="1">
        <v>800</v>
      </c>
      <c r="I46" s="1"/>
      <c r="J46" s="1">
        <f>H46+I46</f>
        <v>800</v>
      </c>
    </row>
    <row r="47" spans="1:10" s="83" customFormat="1" ht="12" customHeight="1" thickBot="1">
      <c r="A47" s="149"/>
      <c r="B47" s="78" t="s">
        <v>2</v>
      </c>
      <c r="C47" s="79" t="s">
        <v>0</v>
      </c>
      <c r="D47" s="80" t="s">
        <v>0</v>
      </c>
      <c r="E47" s="80" t="s">
        <v>0</v>
      </c>
      <c r="F47" s="81" t="s">
        <v>60</v>
      </c>
      <c r="G47" s="82">
        <f>G48+G51+G54+G57+G61+G65+G69+G73+G77+G81+G85+G89+G93+G97+G101+G105+G109+G113+G116+G119+G122+G126+G130+G134+G137+G141+G144+G148+G152+G156+G160+G164+G167+G171+G175+G179+G183+G187+G191+G195+G199+G203+G207+G211+G215+G219+G222+G226+G230+G234+G238+G242+G246+G250+G254+G257+G261+G265+G269+G273+G276+G280+G284+G288+G292+G296+G300+G303+G307+G310+G314+G318+G322+G326+G330+G334+G338+G342+G346+G350+G353+G357+G361+G365+G368</f>
        <v>0</v>
      </c>
      <c r="H47" s="82">
        <f>H48+H51+H54+H57+H61+H65+H69+H73+H77+H81+H85+H89+H93+H97+H101+H105+H109+H113+H116+H119+H122+H126+H130+H134+H137+H141+H144+H148+H152+H156+H160+H164+H167+H171+H175+H179+H183+H187+H191+H195+H199+H203+H207+H211+H215+H219+H222+H226+H230+H234+H238+H242+H246+H250+H254+H257+H261+H265+H269+H273+H276+H280+H284+H288+H292+H296+H300+H303+H307+H310+H314+H318+H322+H326+H330+H334+H338+H342+H346+H350+H353+H357+H361+H365+H368</f>
        <v>172775.18750000006</v>
      </c>
      <c r="I47" s="146">
        <f>I48+I51+I54+I57+I61+I65+I69+I73+I77+I81+I85+I89+I93+I97+I101+I105+I109+I113+I116+I119+I122+I126+I130+I134+I137+I141+I144+I148+I152+I156+I160+I164+I167+I171+I175+I179+I183+I187+I191+I195+I199+I203+I207+I211+I215+I219+I222+I226+I230+I234+I238+I242+I246+I250+I254+I257+I261+I265+I269+I273+I276+I280+I284+I288+I292+I296+I300+I303+I307+I310+I314+I318+I322+I326+I330+I334+I338+I342+I346+I350+I353+I357+I361+I365+I368</f>
        <v>2.2737367544323206E-13</v>
      </c>
      <c r="J47" s="82">
        <f>J48+J51+J54+J57+J61+J65+J69+J73+J77+J81+J85+J89+J93+J97+J101+J105+J109+J113+J116+J119+J122+J126+J130+J134+J137+J141+J144+J148+J152+J156+J160+J164+J167+J171+J175+J179+J183+J187+J191+J195+J199+J203+J207+J211+J215+J219+J222+J226+J230+J234+J238+J242+J246+J250+J254+J257+J261+J265+J269+J273+J276+J280+J284+J288+J292+J296+J300+J303+J307+J310+J314+J318+J322+J326+J330+J334+J338+J342+J346+J350+J353+J357+J361+J365+J368</f>
        <v>172775.1875</v>
      </c>
    </row>
    <row r="48" spans="1:10" s="83" customFormat="1" ht="12" customHeight="1">
      <c r="A48" s="149"/>
      <c r="B48" s="84" t="s">
        <v>2</v>
      </c>
      <c r="C48" s="85" t="s">
        <v>61</v>
      </c>
      <c r="D48" s="62" t="s">
        <v>0</v>
      </c>
      <c r="E48" s="62" t="s">
        <v>0</v>
      </c>
      <c r="F48" s="63" t="s">
        <v>62</v>
      </c>
      <c r="G48" s="39">
        <f>SUM(G49:G50)</f>
        <v>0</v>
      </c>
      <c r="H48" s="8">
        <f>SUM(H49:H50)</f>
        <v>466.0264999999961</v>
      </c>
      <c r="I48" s="141">
        <f>SUM(I49:I50)</f>
        <v>697.608</v>
      </c>
      <c r="J48" s="39">
        <f>SUM(J49:J50)</f>
        <v>1163.634499999996</v>
      </c>
    </row>
    <row r="49" spans="1:10" s="83" customFormat="1" ht="12" customHeight="1">
      <c r="A49" s="149"/>
      <c r="B49" s="86"/>
      <c r="C49" s="87"/>
      <c r="D49" s="53">
        <v>2212</v>
      </c>
      <c r="E49" s="88">
        <v>5901</v>
      </c>
      <c r="F49" s="89" t="s">
        <v>14</v>
      </c>
      <c r="G49" s="90">
        <v>0</v>
      </c>
      <c r="H49" s="4">
        <f>4100-338.8+21824.1875-1267.3645-2642.436-6805.079-11724.454-1939.556-1206.498+804.786-454.004+3.63+81.666+29.948</f>
        <v>466.0259999999999</v>
      </c>
      <c r="I49" s="144">
        <f>81.334+107.415+36.518+842.472-399.045+28.917-0.003</f>
        <v>697.608</v>
      </c>
      <c r="J49" s="20">
        <f>H49+I49</f>
        <v>1163.6339999999998</v>
      </c>
    </row>
    <row r="50" spans="1:10" s="83" customFormat="1" ht="12" customHeight="1" thickBot="1">
      <c r="A50" s="149"/>
      <c r="B50" s="91"/>
      <c r="C50" s="92" t="s">
        <v>63</v>
      </c>
      <c r="D50" s="52">
        <v>2212</v>
      </c>
      <c r="E50" s="93">
        <v>5901</v>
      </c>
      <c r="F50" s="94" t="s">
        <v>14</v>
      </c>
      <c r="G50" s="2">
        <v>0</v>
      </c>
      <c r="H50" s="1">
        <f>146851-9101.5345-60600.018-85064.545+11724.454-3371.489-437.867</f>
        <v>0.0004999999961796675</v>
      </c>
      <c r="I50" s="147"/>
      <c r="J50" s="2">
        <f>H50+I50</f>
        <v>0.0004999999961796675</v>
      </c>
    </row>
    <row r="51" spans="1:10" ht="12" customHeight="1">
      <c r="A51" s="149"/>
      <c r="B51" s="95" t="s">
        <v>2</v>
      </c>
      <c r="C51" s="56" t="s">
        <v>64</v>
      </c>
      <c r="D51" s="62" t="s">
        <v>0</v>
      </c>
      <c r="E51" s="62" t="s">
        <v>0</v>
      </c>
      <c r="F51" s="63" t="s">
        <v>65</v>
      </c>
      <c r="G51" s="39">
        <f>SUM(G52:G53)</f>
        <v>0</v>
      </c>
      <c r="H51" s="8">
        <f>SUM(H52:H53)</f>
        <v>1721.264</v>
      </c>
      <c r="I51" s="39">
        <f>SUM(I52:I53)</f>
        <v>0</v>
      </c>
      <c r="J51" s="39">
        <f>SUM(J52:J53)</f>
        <v>1721.264</v>
      </c>
    </row>
    <row r="52" spans="1:10" ht="12" customHeight="1">
      <c r="A52" s="149"/>
      <c r="B52" s="64"/>
      <c r="C52" s="96" t="s">
        <v>63</v>
      </c>
      <c r="D52" s="53">
        <v>2212</v>
      </c>
      <c r="E52" s="88">
        <v>5169</v>
      </c>
      <c r="F52" s="18" t="s">
        <v>9</v>
      </c>
      <c r="G52" s="4">
        <v>0</v>
      </c>
      <c r="H52" s="9">
        <f>35.09+22.99</f>
        <v>58.08</v>
      </c>
      <c r="I52" s="4"/>
      <c r="J52" s="4">
        <f>H52+I52</f>
        <v>58.08</v>
      </c>
    </row>
    <row r="53" spans="1:10" ht="12" customHeight="1" thickBot="1">
      <c r="A53" s="149"/>
      <c r="B53" s="64"/>
      <c r="C53" s="65"/>
      <c r="D53" s="53">
        <v>2212</v>
      </c>
      <c r="E53" s="88">
        <v>5171</v>
      </c>
      <c r="F53" s="89" t="s">
        <v>66</v>
      </c>
      <c r="G53" s="4">
        <v>0</v>
      </c>
      <c r="H53" s="4">
        <f>2004.567*0.15+0.00045+(2004.567*0.85-0.00045)-341.383</f>
        <v>1663.184</v>
      </c>
      <c r="I53" s="4"/>
      <c r="J53" s="4">
        <f>H53+I53</f>
        <v>1663.184</v>
      </c>
    </row>
    <row r="54" spans="1:10" ht="12" customHeight="1">
      <c r="A54" s="149"/>
      <c r="B54" s="95" t="s">
        <v>2</v>
      </c>
      <c r="C54" s="56" t="s">
        <v>67</v>
      </c>
      <c r="D54" s="62" t="s">
        <v>0</v>
      </c>
      <c r="E54" s="62" t="s">
        <v>0</v>
      </c>
      <c r="F54" s="63" t="s">
        <v>68</v>
      </c>
      <c r="G54" s="39">
        <f>SUM(G55:G56)</f>
        <v>0</v>
      </c>
      <c r="H54" s="8">
        <f>SUM(H55:H56)</f>
        <v>1243.877</v>
      </c>
      <c r="I54" s="39">
        <f>SUM(I55:I56)</f>
        <v>0</v>
      </c>
      <c r="J54" s="39">
        <f>SUM(J55:J56)</f>
        <v>1243.877</v>
      </c>
    </row>
    <row r="55" spans="1:10" ht="12" customHeight="1">
      <c r="A55" s="149"/>
      <c r="B55" s="64"/>
      <c r="C55" s="96" t="s">
        <v>63</v>
      </c>
      <c r="D55" s="53">
        <v>2212</v>
      </c>
      <c r="E55" s="88">
        <v>5169</v>
      </c>
      <c r="F55" s="18" t="s">
        <v>9</v>
      </c>
      <c r="G55" s="4">
        <v>0</v>
      </c>
      <c r="H55" s="9">
        <f>21.538+37.752</f>
        <v>59.290000000000006</v>
      </c>
      <c r="I55" s="5"/>
      <c r="J55" s="4">
        <f>H55+I55</f>
        <v>59.290000000000006</v>
      </c>
    </row>
    <row r="56" spans="1:10" ht="12" customHeight="1" thickBot="1">
      <c r="A56" s="149"/>
      <c r="B56" s="103"/>
      <c r="C56" s="119"/>
      <c r="D56" s="43">
        <v>2212</v>
      </c>
      <c r="E56" s="105">
        <v>5171</v>
      </c>
      <c r="F56" s="58" t="s">
        <v>66</v>
      </c>
      <c r="G56" s="1">
        <v>0</v>
      </c>
      <c r="H56" s="1">
        <f>1185.796*0.15+0.0001+(1185.796*0.85-0.0001)-1.209</f>
        <v>1184.587</v>
      </c>
      <c r="I56" s="1"/>
      <c r="J56" s="1">
        <f>H56+I56</f>
        <v>1184.587</v>
      </c>
    </row>
    <row r="57" spans="1:10" s="83" customFormat="1" ht="12" customHeight="1">
      <c r="A57" s="149"/>
      <c r="B57" s="95" t="s">
        <v>2</v>
      </c>
      <c r="C57" s="97" t="s">
        <v>69</v>
      </c>
      <c r="D57" s="98" t="s">
        <v>0</v>
      </c>
      <c r="E57" s="98" t="s">
        <v>0</v>
      </c>
      <c r="F57" s="99" t="s">
        <v>70</v>
      </c>
      <c r="G57" s="100">
        <f>SUM(G58:G60)</f>
        <v>0</v>
      </c>
      <c r="H57" s="101">
        <f>SUM(H58:H60)</f>
        <v>2223.101</v>
      </c>
      <c r="I57" s="100">
        <f>SUM(I58:I60)</f>
        <v>0</v>
      </c>
      <c r="J57" s="100">
        <f>SUM(J58:J60)</f>
        <v>2223.101</v>
      </c>
    </row>
    <row r="58" spans="1:10" s="83" customFormat="1" ht="12" customHeight="1">
      <c r="A58" s="149"/>
      <c r="B58" s="86"/>
      <c r="C58" s="102"/>
      <c r="D58" s="53">
        <v>2212</v>
      </c>
      <c r="E58" s="88">
        <v>5169</v>
      </c>
      <c r="F58" s="18" t="s">
        <v>9</v>
      </c>
      <c r="G58" s="90">
        <v>0</v>
      </c>
      <c r="H58" s="4">
        <f>20*1.21+2.5*1.21</f>
        <v>27.224999999999998</v>
      </c>
      <c r="I58" s="5"/>
      <c r="J58" s="20">
        <f>H58+I58</f>
        <v>27.224999999999998</v>
      </c>
    </row>
    <row r="59" spans="1:10" s="83" customFormat="1" ht="12" customHeight="1">
      <c r="A59" s="149"/>
      <c r="B59" s="86"/>
      <c r="C59" s="96" t="s">
        <v>63</v>
      </c>
      <c r="D59" s="53">
        <v>2212</v>
      </c>
      <c r="E59" s="88">
        <v>5169</v>
      </c>
      <c r="F59" s="18" t="s">
        <v>9</v>
      </c>
      <c r="G59" s="90">
        <v>0</v>
      </c>
      <c r="H59" s="4">
        <f>32.148+12.705</f>
        <v>44.853</v>
      </c>
      <c r="I59" s="5"/>
      <c r="J59" s="20">
        <f>H59+I59</f>
        <v>44.853</v>
      </c>
    </row>
    <row r="60" spans="1:10" ht="12" customHeight="1" thickBot="1">
      <c r="A60" s="149"/>
      <c r="B60" s="91"/>
      <c r="C60" s="92" t="s">
        <v>63</v>
      </c>
      <c r="D60" s="52">
        <v>2212</v>
      </c>
      <c r="E60" s="93">
        <v>5171</v>
      </c>
      <c r="F60" s="94" t="s">
        <v>66</v>
      </c>
      <c r="G60" s="2">
        <v>0</v>
      </c>
      <c r="H60" s="1">
        <v>2151.023</v>
      </c>
      <c r="I60" s="1"/>
      <c r="J60" s="2">
        <f>H60+I60</f>
        <v>2151.023</v>
      </c>
    </row>
    <row r="61" spans="1:10" s="83" customFormat="1" ht="12" customHeight="1">
      <c r="A61" s="149"/>
      <c r="B61" s="84" t="s">
        <v>2</v>
      </c>
      <c r="C61" s="85" t="s">
        <v>71</v>
      </c>
      <c r="D61" s="62" t="s">
        <v>0</v>
      </c>
      <c r="E61" s="62" t="s">
        <v>0</v>
      </c>
      <c r="F61" s="63" t="s">
        <v>72</v>
      </c>
      <c r="G61" s="39">
        <f>SUM(G62:G64)</f>
        <v>0</v>
      </c>
      <c r="H61" s="8">
        <f>SUM(H62:H64)</f>
        <v>1700.341</v>
      </c>
      <c r="I61" s="39">
        <f>SUM(I62:I64)</f>
        <v>0</v>
      </c>
      <c r="J61" s="39">
        <f>SUM(J62:J64)</f>
        <v>1700.341</v>
      </c>
    </row>
    <row r="62" spans="1:10" s="83" customFormat="1" ht="12" customHeight="1">
      <c r="A62" s="149"/>
      <c r="B62" s="86"/>
      <c r="C62" s="102"/>
      <c r="D62" s="53">
        <v>2212</v>
      </c>
      <c r="E62" s="88">
        <v>5169</v>
      </c>
      <c r="F62" s="18" t="s">
        <v>9</v>
      </c>
      <c r="G62" s="90">
        <v>0</v>
      </c>
      <c r="H62" s="4">
        <f>20*1.21+2.5*1.21</f>
        <v>27.224999999999998</v>
      </c>
      <c r="I62" s="5"/>
      <c r="J62" s="20">
        <f>H62+I62</f>
        <v>27.224999999999998</v>
      </c>
    </row>
    <row r="63" spans="1:10" s="83" customFormat="1" ht="12" customHeight="1">
      <c r="A63" s="149"/>
      <c r="B63" s="86"/>
      <c r="C63" s="96" t="s">
        <v>63</v>
      </c>
      <c r="D63" s="53">
        <v>2212</v>
      </c>
      <c r="E63" s="88">
        <v>5169</v>
      </c>
      <c r="F63" s="18" t="s">
        <v>9</v>
      </c>
      <c r="G63" s="90">
        <v>0</v>
      </c>
      <c r="H63" s="4">
        <f>32.148+12.705</f>
        <v>44.853</v>
      </c>
      <c r="I63" s="5"/>
      <c r="J63" s="20">
        <f>H63+I63</f>
        <v>44.853</v>
      </c>
    </row>
    <row r="64" spans="1:10" ht="12" customHeight="1" thickBot="1">
      <c r="A64" s="149"/>
      <c r="B64" s="91"/>
      <c r="C64" s="92" t="s">
        <v>63</v>
      </c>
      <c r="D64" s="52">
        <v>2212</v>
      </c>
      <c r="E64" s="93">
        <v>5171</v>
      </c>
      <c r="F64" s="94" t="s">
        <v>66</v>
      </c>
      <c r="G64" s="2">
        <v>0</v>
      </c>
      <c r="H64" s="1">
        <v>1628.263</v>
      </c>
      <c r="I64" s="1"/>
      <c r="J64" s="2">
        <f>H64+I64</f>
        <v>1628.263</v>
      </c>
    </row>
    <row r="65" spans="1:10" s="83" customFormat="1" ht="12" customHeight="1">
      <c r="A65" s="149"/>
      <c r="B65" s="95" t="s">
        <v>2</v>
      </c>
      <c r="C65" s="97" t="s">
        <v>73</v>
      </c>
      <c r="D65" s="98" t="s">
        <v>0</v>
      </c>
      <c r="E65" s="98" t="s">
        <v>0</v>
      </c>
      <c r="F65" s="99" t="s">
        <v>74</v>
      </c>
      <c r="G65" s="39">
        <f>SUM(G66:G68)</f>
        <v>0</v>
      </c>
      <c r="H65" s="8">
        <f>SUM(H66:H68)</f>
        <v>4148.308</v>
      </c>
      <c r="I65" s="39">
        <f>SUM(I66:I68)</f>
        <v>0</v>
      </c>
      <c r="J65" s="39">
        <f>SUM(J66:J68)</f>
        <v>4148.308</v>
      </c>
    </row>
    <row r="66" spans="1:10" s="83" customFormat="1" ht="12" customHeight="1">
      <c r="A66" s="149"/>
      <c r="B66" s="86"/>
      <c r="C66" s="102"/>
      <c r="D66" s="53">
        <v>2212</v>
      </c>
      <c r="E66" s="88">
        <v>5169</v>
      </c>
      <c r="F66" s="18" t="s">
        <v>9</v>
      </c>
      <c r="G66" s="90">
        <v>0</v>
      </c>
      <c r="H66" s="4">
        <f>20*1.21+2.5*1.21</f>
        <v>27.224999999999998</v>
      </c>
      <c r="I66" s="5"/>
      <c r="J66" s="20">
        <f>H66+I66</f>
        <v>27.224999999999998</v>
      </c>
    </row>
    <row r="67" spans="1:10" s="83" customFormat="1" ht="12" customHeight="1">
      <c r="A67" s="149"/>
      <c r="B67" s="86"/>
      <c r="C67" s="96" t="s">
        <v>63</v>
      </c>
      <c r="D67" s="53">
        <v>2212</v>
      </c>
      <c r="E67" s="88">
        <v>5169</v>
      </c>
      <c r="F67" s="18" t="s">
        <v>9</v>
      </c>
      <c r="G67" s="90">
        <v>0</v>
      </c>
      <c r="H67" s="4">
        <f>32.147+12.705</f>
        <v>44.852</v>
      </c>
      <c r="I67" s="5"/>
      <c r="J67" s="20">
        <f>H67+I67</f>
        <v>44.852</v>
      </c>
    </row>
    <row r="68" spans="1:10" ht="12" customHeight="1" thickBot="1">
      <c r="A68" s="149"/>
      <c r="B68" s="103"/>
      <c r="C68" s="104" t="s">
        <v>63</v>
      </c>
      <c r="D68" s="43">
        <v>2212</v>
      </c>
      <c r="E68" s="105">
        <v>5171</v>
      </c>
      <c r="F68" s="58" t="s">
        <v>66</v>
      </c>
      <c r="G68" s="1">
        <v>0</v>
      </c>
      <c r="H68" s="1">
        <v>4076.231</v>
      </c>
      <c r="I68" s="1"/>
      <c r="J68" s="1">
        <f>H68+I68</f>
        <v>4076.231</v>
      </c>
    </row>
    <row r="69" spans="1:10" s="83" customFormat="1" ht="12" customHeight="1">
      <c r="A69" s="149"/>
      <c r="B69" s="84" t="s">
        <v>2</v>
      </c>
      <c r="C69" s="85" t="s">
        <v>75</v>
      </c>
      <c r="D69" s="62" t="s">
        <v>0</v>
      </c>
      <c r="E69" s="62" t="s">
        <v>0</v>
      </c>
      <c r="F69" s="63" t="s">
        <v>76</v>
      </c>
      <c r="G69" s="39">
        <f>SUM(G70:G72)</f>
        <v>0</v>
      </c>
      <c r="H69" s="8">
        <f>SUM(H70:H72)</f>
        <v>1445.493</v>
      </c>
      <c r="I69" s="39">
        <f>SUM(I70:I72)</f>
        <v>0</v>
      </c>
      <c r="J69" s="39">
        <f>SUM(J70:J72)</f>
        <v>1445.493</v>
      </c>
    </row>
    <row r="70" spans="1:10" s="83" customFormat="1" ht="12" customHeight="1">
      <c r="A70" s="149"/>
      <c r="B70" s="86"/>
      <c r="C70" s="102"/>
      <c r="D70" s="53">
        <v>2212</v>
      </c>
      <c r="E70" s="88">
        <v>5169</v>
      </c>
      <c r="F70" s="18" t="s">
        <v>9</v>
      </c>
      <c r="G70" s="90">
        <v>0</v>
      </c>
      <c r="H70" s="4">
        <f>20*1.21+2.5*1.21</f>
        <v>27.224999999999998</v>
      </c>
      <c r="I70" s="5"/>
      <c r="J70" s="20">
        <f>H70+I70</f>
        <v>27.224999999999998</v>
      </c>
    </row>
    <row r="71" spans="1:10" s="83" customFormat="1" ht="12" customHeight="1">
      <c r="A71" s="149"/>
      <c r="B71" s="86"/>
      <c r="C71" s="96" t="s">
        <v>63</v>
      </c>
      <c r="D71" s="53">
        <v>2212</v>
      </c>
      <c r="E71" s="88">
        <v>5169</v>
      </c>
      <c r="F71" s="18" t="s">
        <v>9</v>
      </c>
      <c r="G71" s="90">
        <v>0</v>
      </c>
      <c r="H71" s="10">
        <f>31.46+16.94</f>
        <v>48.400000000000006</v>
      </c>
      <c r="I71" s="5"/>
      <c r="J71" s="20">
        <f>H71+I71</f>
        <v>48.400000000000006</v>
      </c>
    </row>
    <row r="72" spans="1:10" ht="12" customHeight="1" thickBot="1">
      <c r="A72" s="149"/>
      <c r="B72" s="91"/>
      <c r="C72" s="92" t="s">
        <v>63</v>
      </c>
      <c r="D72" s="43">
        <v>2212</v>
      </c>
      <c r="E72" s="105">
        <v>5171</v>
      </c>
      <c r="F72" s="58" t="s">
        <v>66</v>
      </c>
      <c r="G72" s="2">
        <v>0</v>
      </c>
      <c r="H72" s="1">
        <v>1369.868</v>
      </c>
      <c r="I72" s="1"/>
      <c r="J72" s="1">
        <f>H72+I72</f>
        <v>1369.868</v>
      </c>
    </row>
    <row r="73" spans="1:10" s="83" customFormat="1" ht="12" customHeight="1">
      <c r="A73" s="149"/>
      <c r="B73" s="84" t="s">
        <v>2</v>
      </c>
      <c r="C73" s="85" t="s">
        <v>77</v>
      </c>
      <c r="D73" s="62" t="s">
        <v>0</v>
      </c>
      <c r="E73" s="62" t="s">
        <v>0</v>
      </c>
      <c r="F73" s="63" t="s">
        <v>78</v>
      </c>
      <c r="G73" s="39">
        <f>SUM(G74:G76)</f>
        <v>0</v>
      </c>
      <c r="H73" s="8">
        <f>SUM(H74:H76)</f>
        <v>4690.74</v>
      </c>
      <c r="I73" s="39">
        <f>SUM(I74:I76)</f>
        <v>0</v>
      </c>
      <c r="J73" s="39">
        <f>SUM(J74:J76)</f>
        <v>4690.74</v>
      </c>
    </row>
    <row r="74" spans="1:10" s="83" customFormat="1" ht="12" customHeight="1">
      <c r="A74" s="149"/>
      <c r="B74" s="86"/>
      <c r="C74" s="102"/>
      <c r="D74" s="53">
        <v>2212</v>
      </c>
      <c r="E74" s="88">
        <v>5169</v>
      </c>
      <c r="F74" s="18" t="s">
        <v>9</v>
      </c>
      <c r="G74" s="90">
        <v>0</v>
      </c>
      <c r="H74" s="4">
        <f>20*1.21+2.5*1.21</f>
        <v>27.224999999999998</v>
      </c>
      <c r="I74" s="5"/>
      <c r="J74" s="20">
        <f>H74+I74</f>
        <v>27.224999999999998</v>
      </c>
    </row>
    <row r="75" spans="1:10" s="83" customFormat="1" ht="12" customHeight="1">
      <c r="A75" s="149"/>
      <c r="B75" s="86"/>
      <c r="C75" s="96" t="s">
        <v>63</v>
      </c>
      <c r="D75" s="53">
        <v>2212</v>
      </c>
      <c r="E75" s="88">
        <v>5169</v>
      </c>
      <c r="F75" s="18" t="s">
        <v>9</v>
      </c>
      <c r="G75" s="90">
        <v>0</v>
      </c>
      <c r="H75" s="4">
        <f>58.939+38.115</f>
        <v>97.054</v>
      </c>
      <c r="I75" s="5"/>
      <c r="J75" s="20">
        <f>H75+I75</f>
        <v>97.054</v>
      </c>
    </row>
    <row r="76" spans="1:10" ht="12" customHeight="1" thickBot="1">
      <c r="A76" s="149"/>
      <c r="B76" s="91"/>
      <c r="C76" s="92" t="s">
        <v>63</v>
      </c>
      <c r="D76" s="43">
        <v>2212</v>
      </c>
      <c r="E76" s="105">
        <v>5171</v>
      </c>
      <c r="F76" s="58" t="s">
        <v>66</v>
      </c>
      <c r="G76" s="2">
        <v>0</v>
      </c>
      <c r="H76" s="1">
        <f>4596.409-29.948</f>
        <v>4566.460999999999</v>
      </c>
      <c r="I76" s="1"/>
      <c r="J76" s="1">
        <f>H76+I76</f>
        <v>4566.460999999999</v>
      </c>
    </row>
    <row r="77" spans="1:10" s="83" customFormat="1" ht="12" customHeight="1">
      <c r="A77" s="149"/>
      <c r="B77" s="84" t="s">
        <v>2</v>
      </c>
      <c r="C77" s="85" t="s">
        <v>79</v>
      </c>
      <c r="D77" s="62" t="s">
        <v>0</v>
      </c>
      <c r="E77" s="62" t="s">
        <v>0</v>
      </c>
      <c r="F77" s="63" t="s">
        <v>80</v>
      </c>
      <c r="G77" s="39">
        <f>SUM(G78:G80)</f>
        <v>0</v>
      </c>
      <c r="H77" s="8">
        <f>SUM(H78:H80)</f>
        <v>2853.089</v>
      </c>
      <c r="I77" s="39">
        <f>SUM(I78:I80)</f>
        <v>0</v>
      </c>
      <c r="J77" s="39">
        <f>SUM(J78:J80)</f>
        <v>2853.089</v>
      </c>
    </row>
    <row r="78" spans="1:10" s="83" customFormat="1" ht="12" customHeight="1">
      <c r="A78" s="149"/>
      <c r="B78" s="86"/>
      <c r="C78" s="102"/>
      <c r="D78" s="53">
        <v>2212</v>
      </c>
      <c r="E78" s="88">
        <v>5169</v>
      </c>
      <c r="F78" s="18" t="s">
        <v>9</v>
      </c>
      <c r="G78" s="90">
        <v>0</v>
      </c>
      <c r="H78" s="4">
        <f>20*1.21+2.5*1.21</f>
        <v>27.224999999999998</v>
      </c>
      <c r="I78" s="5"/>
      <c r="J78" s="20">
        <f>H78+I78</f>
        <v>27.224999999999998</v>
      </c>
    </row>
    <row r="79" spans="1:10" s="83" customFormat="1" ht="12" customHeight="1">
      <c r="A79" s="149"/>
      <c r="B79" s="86"/>
      <c r="C79" s="96" t="s">
        <v>63</v>
      </c>
      <c r="D79" s="53">
        <v>2212</v>
      </c>
      <c r="E79" s="88">
        <v>5169</v>
      </c>
      <c r="F79" s="18" t="s">
        <v>9</v>
      </c>
      <c r="G79" s="90">
        <v>0</v>
      </c>
      <c r="H79" s="4">
        <f>18.453+15.73</f>
        <v>34.183</v>
      </c>
      <c r="I79" s="5"/>
      <c r="J79" s="20">
        <f>H79+I79</f>
        <v>34.183</v>
      </c>
    </row>
    <row r="80" spans="1:10" s="83" customFormat="1" ht="12" customHeight="1" thickBot="1">
      <c r="A80" s="149"/>
      <c r="B80" s="106"/>
      <c r="C80" s="102"/>
      <c r="D80" s="107">
        <v>2212</v>
      </c>
      <c r="E80" s="108">
        <v>5171</v>
      </c>
      <c r="F80" s="109" t="s">
        <v>66</v>
      </c>
      <c r="G80" s="10">
        <v>0</v>
      </c>
      <c r="H80" s="10">
        <f>2791.681</f>
        <v>2791.681</v>
      </c>
      <c r="I80" s="5"/>
      <c r="J80" s="20">
        <f>H80+I80</f>
        <v>2791.681</v>
      </c>
    </row>
    <row r="81" spans="1:10" s="83" customFormat="1" ht="12" customHeight="1">
      <c r="A81" s="149"/>
      <c r="B81" s="84" t="s">
        <v>2</v>
      </c>
      <c r="C81" s="85" t="s">
        <v>81</v>
      </c>
      <c r="D81" s="62" t="s">
        <v>0</v>
      </c>
      <c r="E81" s="62" t="s">
        <v>0</v>
      </c>
      <c r="F81" s="63" t="s">
        <v>82</v>
      </c>
      <c r="G81" s="39">
        <f>SUM(G82:G84)</f>
        <v>0</v>
      </c>
      <c r="H81" s="8">
        <f>SUM(H82:H84)</f>
        <v>1503.8419999999999</v>
      </c>
      <c r="I81" s="39">
        <f>SUM(I82:I84)</f>
        <v>0</v>
      </c>
      <c r="J81" s="39">
        <f>SUM(J82:J84)</f>
        <v>1503.8419999999999</v>
      </c>
    </row>
    <row r="82" spans="1:10" s="83" customFormat="1" ht="12" customHeight="1">
      <c r="A82" s="149"/>
      <c r="B82" s="86"/>
      <c r="C82" s="102"/>
      <c r="D82" s="53">
        <v>2212</v>
      </c>
      <c r="E82" s="88">
        <v>5169</v>
      </c>
      <c r="F82" s="18" t="s">
        <v>9</v>
      </c>
      <c r="G82" s="90">
        <v>0</v>
      </c>
      <c r="H82" s="4">
        <f>20*1.21+2.5*1.21</f>
        <v>27.224999999999998</v>
      </c>
      <c r="I82" s="5"/>
      <c r="J82" s="20">
        <f>H82+I82</f>
        <v>27.224999999999998</v>
      </c>
    </row>
    <row r="83" spans="1:10" s="83" customFormat="1" ht="12" customHeight="1">
      <c r="A83" s="149"/>
      <c r="B83" s="86"/>
      <c r="C83" s="96" t="s">
        <v>63</v>
      </c>
      <c r="D83" s="53">
        <v>2212</v>
      </c>
      <c r="E83" s="88">
        <v>5169</v>
      </c>
      <c r="F83" s="18" t="s">
        <v>9</v>
      </c>
      <c r="G83" s="90">
        <v>0</v>
      </c>
      <c r="H83" s="4">
        <f>18.452+15.73</f>
        <v>34.182</v>
      </c>
      <c r="I83" s="5"/>
      <c r="J83" s="20">
        <f>H83+I83</f>
        <v>34.182</v>
      </c>
    </row>
    <row r="84" spans="1:10" ht="12" customHeight="1" thickBot="1">
      <c r="A84" s="149"/>
      <c r="B84" s="91"/>
      <c r="C84" s="92" t="s">
        <v>63</v>
      </c>
      <c r="D84" s="43">
        <v>2212</v>
      </c>
      <c r="E84" s="105">
        <v>5171</v>
      </c>
      <c r="F84" s="58" t="s">
        <v>66</v>
      </c>
      <c r="G84" s="2">
        <v>0</v>
      </c>
      <c r="H84" s="1">
        <v>1442.435</v>
      </c>
      <c r="I84" s="1"/>
      <c r="J84" s="1">
        <f>H84+I84</f>
        <v>1442.435</v>
      </c>
    </row>
    <row r="85" spans="1:10" s="83" customFormat="1" ht="12" customHeight="1">
      <c r="A85" s="149"/>
      <c r="B85" s="95" t="s">
        <v>2</v>
      </c>
      <c r="C85" s="97" t="s">
        <v>83</v>
      </c>
      <c r="D85" s="98" t="s">
        <v>0</v>
      </c>
      <c r="E85" s="98" t="s">
        <v>0</v>
      </c>
      <c r="F85" s="99" t="s">
        <v>84</v>
      </c>
      <c r="G85" s="39">
        <f>SUM(G86:G88)</f>
        <v>0</v>
      </c>
      <c r="H85" s="8">
        <f>SUM(H86:H88)</f>
        <v>3268.2920000000004</v>
      </c>
      <c r="I85" s="141">
        <f>SUM(I86:I88)</f>
        <v>-994.049</v>
      </c>
      <c r="J85" s="39">
        <f>SUM(J86:J88)</f>
        <v>2274.2430000000004</v>
      </c>
    </row>
    <row r="86" spans="1:10" s="83" customFormat="1" ht="12" customHeight="1">
      <c r="A86" s="149"/>
      <c r="B86" s="86"/>
      <c r="C86" s="102"/>
      <c r="D86" s="53">
        <v>2212</v>
      </c>
      <c r="E86" s="88">
        <v>5169</v>
      </c>
      <c r="F86" s="18" t="s">
        <v>9</v>
      </c>
      <c r="G86" s="90">
        <v>0</v>
      </c>
      <c r="H86" s="4">
        <f>20*1.21+2.5*1.21</f>
        <v>27.224999999999998</v>
      </c>
      <c r="I86" s="142"/>
      <c r="J86" s="20">
        <f>H86+I86</f>
        <v>27.224999999999998</v>
      </c>
    </row>
    <row r="87" spans="1:10" s="83" customFormat="1" ht="12" customHeight="1">
      <c r="A87" s="149"/>
      <c r="B87" s="86"/>
      <c r="C87" s="96" t="s">
        <v>63</v>
      </c>
      <c r="D87" s="53">
        <v>2212</v>
      </c>
      <c r="E87" s="88">
        <v>5169</v>
      </c>
      <c r="F87" s="18" t="s">
        <v>9</v>
      </c>
      <c r="G87" s="90">
        <v>0</v>
      </c>
      <c r="H87" s="4">
        <f>23.595+16.94</f>
        <v>40.535</v>
      </c>
      <c r="I87" s="142"/>
      <c r="J87" s="20">
        <f>H87+I87</f>
        <v>40.535</v>
      </c>
    </row>
    <row r="88" spans="1:10" ht="12" customHeight="1" thickBot="1">
      <c r="A88" s="149"/>
      <c r="B88" s="91"/>
      <c r="C88" s="92" t="s">
        <v>63</v>
      </c>
      <c r="D88" s="52">
        <v>2212</v>
      </c>
      <c r="E88" s="93">
        <v>5171</v>
      </c>
      <c r="F88" s="94" t="s">
        <v>66</v>
      </c>
      <c r="G88" s="2">
        <v>0</v>
      </c>
      <c r="H88" s="1">
        <v>3200.532</v>
      </c>
      <c r="I88" s="143">
        <f>-3200.532+2206.483</f>
        <v>-994.049</v>
      </c>
      <c r="J88" s="2">
        <f>H88+I88</f>
        <v>2206.483</v>
      </c>
    </row>
    <row r="89" spans="1:10" s="83" customFormat="1" ht="12" customHeight="1">
      <c r="A89" s="149"/>
      <c r="B89" s="84" t="s">
        <v>2</v>
      </c>
      <c r="C89" s="85" t="s">
        <v>85</v>
      </c>
      <c r="D89" s="62" t="s">
        <v>0</v>
      </c>
      <c r="E89" s="62" t="s">
        <v>0</v>
      </c>
      <c r="F89" s="63" t="s">
        <v>86</v>
      </c>
      <c r="G89" s="39">
        <f>SUM(G90:G92)</f>
        <v>0</v>
      </c>
      <c r="H89" s="8">
        <f>SUM(H90:H92)</f>
        <v>4568.306</v>
      </c>
      <c r="I89" s="39">
        <f>SUM(I90:I92)</f>
        <v>0</v>
      </c>
      <c r="J89" s="39">
        <f>SUM(J90:J92)</f>
        <v>4568.306</v>
      </c>
    </row>
    <row r="90" spans="1:10" s="83" customFormat="1" ht="12" customHeight="1">
      <c r="A90" s="149"/>
      <c r="B90" s="86"/>
      <c r="C90" s="102"/>
      <c r="D90" s="53">
        <v>2212</v>
      </c>
      <c r="E90" s="88">
        <v>5169</v>
      </c>
      <c r="F90" s="18" t="s">
        <v>9</v>
      </c>
      <c r="G90" s="90">
        <v>0</v>
      </c>
      <c r="H90" s="4">
        <f>20*1.21+2.5*1.21</f>
        <v>27.224999999999998</v>
      </c>
      <c r="I90" s="5"/>
      <c r="J90" s="20">
        <f>H90+I90</f>
        <v>27.224999999999998</v>
      </c>
    </row>
    <row r="91" spans="1:10" s="83" customFormat="1" ht="12" customHeight="1">
      <c r="A91" s="149"/>
      <c r="B91" s="86"/>
      <c r="C91" s="96" t="s">
        <v>63</v>
      </c>
      <c r="D91" s="53">
        <v>2212</v>
      </c>
      <c r="E91" s="88">
        <v>5169</v>
      </c>
      <c r="F91" s="18" t="s">
        <v>9</v>
      </c>
      <c r="G91" s="90">
        <v>0</v>
      </c>
      <c r="H91" s="10">
        <f>84.7+32.85</f>
        <v>117.55000000000001</v>
      </c>
      <c r="I91" s="5"/>
      <c r="J91" s="20">
        <f>H91+I91</f>
        <v>117.55000000000001</v>
      </c>
    </row>
    <row r="92" spans="1:10" ht="12" customHeight="1" thickBot="1">
      <c r="A92" s="149"/>
      <c r="B92" s="91"/>
      <c r="C92" s="92" t="s">
        <v>63</v>
      </c>
      <c r="D92" s="43">
        <v>2212</v>
      </c>
      <c r="E92" s="105">
        <v>5171</v>
      </c>
      <c r="F92" s="58" t="s">
        <v>66</v>
      </c>
      <c r="G92" s="2">
        <v>0</v>
      </c>
      <c r="H92" s="1">
        <v>4423.531</v>
      </c>
      <c r="I92" s="1"/>
      <c r="J92" s="1">
        <f>H92+I92</f>
        <v>4423.531</v>
      </c>
    </row>
    <row r="93" spans="1:10" s="83" customFormat="1" ht="12" customHeight="1">
      <c r="A93" s="149"/>
      <c r="B93" s="84" t="s">
        <v>2</v>
      </c>
      <c r="C93" s="85" t="s">
        <v>87</v>
      </c>
      <c r="D93" s="62" t="s">
        <v>0</v>
      </c>
      <c r="E93" s="62" t="s">
        <v>0</v>
      </c>
      <c r="F93" s="63" t="s">
        <v>88</v>
      </c>
      <c r="G93" s="39">
        <f>SUM(G94:G96)</f>
        <v>0</v>
      </c>
      <c r="H93" s="8">
        <f>SUM(H94:H96)</f>
        <v>2274.2430000000004</v>
      </c>
      <c r="I93" s="141">
        <f>SUM(I94:I96)</f>
        <v>994.049</v>
      </c>
      <c r="J93" s="39">
        <f>SUM(J94:J96)</f>
        <v>3268.2920000000004</v>
      </c>
    </row>
    <row r="94" spans="1:10" s="83" customFormat="1" ht="12" customHeight="1">
      <c r="A94" s="149"/>
      <c r="B94" s="86"/>
      <c r="C94" s="102"/>
      <c r="D94" s="53">
        <v>2212</v>
      </c>
      <c r="E94" s="88">
        <v>5169</v>
      </c>
      <c r="F94" s="18" t="s">
        <v>9</v>
      </c>
      <c r="G94" s="90">
        <v>0</v>
      </c>
      <c r="H94" s="4">
        <f>20*1.21+2.5*1.21</f>
        <v>27.224999999999998</v>
      </c>
      <c r="I94" s="142"/>
      <c r="J94" s="20">
        <f>H94+I94</f>
        <v>27.224999999999998</v>
      </c>
    </row>
    <row r="95" spans="1:10" s="83" customFormat="1" ht="12" customHeight="1">
      <c r="A95" s="149"/>
      <c r="B95" s="86"/>
      <c r="C95" s="96" t="s">
        <v>63</v>
      </c>
      <c r="D95" s="53">
        <v>2212</v>
      </c>
      <c r="E95" s="88">
        <v>5169</v>
      </c>
      <c r="F95" s="18" t="s">
        <v>9</v>
      </c>
      <c r="G95" s="90">
        <v>0</v>
      </c>
      <c r="H95" s="4">
        <f>23.595+16.94</f>
        <v>40.535</v>
      </c>
      <c r="I95" s="142"/>
      <c r="J95" s="20">
        <f>H95+I95</f>
        <v>40.535</v>
      </c>
    </row>
    <row r="96" spans="1:10" ht="12" customHeight="1" thickBot="1">
      <c r="A96" s="149"/>
      <c r="B96" s="91"/>
      <c r="C96" s="92" t="s">
        <v>63</v>
      </c>
      <c r="D96" s="52">
        <v>2212</v>
      </c>
      <c r="E96" s="93">
        <v>5171</v>
      </c>
      <c r="F96" s="94" t="s">
        <v>66</v>
      </c>
      <c r="G96" s="2">
        <v>0</v>
      </c>
      <c r="H96" s="1">
        <v>2206.483</v>
      </c>
      <c r="I96" s="143">
        <f>-2206.483+3200.532</f>
        <v>994.049</v>
      </c>
      <c r="J96" s="2">
        <f>H96+I96</f>
        <v>3200.532</v>
      </c>
    </row>
    <row r="97" spans="1:10" s="83" customFormat="1" ht="12" customHeight="1">
      <c r="A97" s="149"/>
      <c r="B97" s="95" t="s">
        <v>2</v>
      </c>
      <c r="C97" s="97" t="s">
        <v>89</v>
      </c>
      <c r="D97" s="98" t="s">
        <v>0</v>
      </c>
      <c r="E97" s="98" t="s">
        <v>0</v>
      </c>
      <c r="F97" s="99" t="s">
        <v>90</v>
      </c>
      <c r="G97" s="39">
        <f>SUM(G98:G100)</f>
        <v>0</v>
      </c>
      <c r="H97" s="8">
        <f>SUM(H98:H100)</f>
        <v>3841.4120000000003</v>
      </c>
      <c r="I97" s="39">
        <f>SUM(I98:I100)</f>
        <v>0</v>
      </c>
      <c r="J97" s="39">
        <f>SUM(J98:J100)</f>
        <v>3841.4120000000003</v>
      </c>
    </row>
    <row r="98" spans="1:10" s="83" customFormat="1" ht="12" customHeight="1">
      <c r="A98" s="149"/>
      <c r="B98" s="86"/>
      <c r="C98" s="102"/>
      <c r="D98" s="53">
        <v>2212</v>
      </c>
      <c r="E98" s="88">
        <v>5169</v>
      </c>
      <c r="F98" s="18" t="s">
        <v>9</v>
      </c>
      <c r="G98" s="90">
        <v>0</v>
      </c>
      <c r="H98" s="4">
        <f>20*1.21+2.5*1.21</f>
        <v>27.224999999999998</v>
      </c>
      <c r="I98" s="5"/>
      <c r="J98" s="20">
        <f>H98+I98</f>
        <v>27.224999999999998</v>
      </c>
    </row>
    <row r="99" spans="1:10" s="83" customFormat="1" ht="12" customHeight="1">
      <c r="A99" s="149"/>
      <c r="B99" s="86"/>
      <c r="C99" s="96" t="s">
        <v>63</v>
      </c>
      <c r="D99" s="53">
        <v>2212</v>
      </c>
      <c r="E99" s="88">
        <v>5169</v>
      </c>
      <c r="F99" s="18" t="s">
        <v>9</v>
      </c>
      <c r="G99" s="90">
        <v>0</v>
      </c>
      <c r="H99" s="4">
        <f>23.595+16.94</f>
        <v>40.535</v>
      </c>
      <c r="I99" s="5"/>
      <c r="J99" s="20">
        <f>H99+I99</f>
        <v>40.535</v>
      </c>
    </row>
    <row r="100" spans="1:10" ht="12" customHeight="1" thickBot="1">
      <c r="A100" s="149"/>
      <c r="B100" s="91"/>
      <c r="C100" s="92" t="s">
        <v>63</v>
      </c>
      <c r="D100" s="52">
        <v>2212</v>
      </c>
      <c r="E100" s="93">
        <v>5171</v>
      </c>
      <c r="F100" s="94" t="s">
        <v>66</v>
      </c>
      <c r="G100" s="2">
        <v>0</v>
      </c>
      <c r="H100" s="1">
        <v>3773.652</v>
      </c>
      <c r="I100" s="1"/>
      <c r="J100" s="2">
        <f>H100+I100</f>
        <v>3773.652</v>
      </c>
    </row>
    <row r="101" spans="1:10" s="83" customFormat="1" ht="12" customHeight="1">
      <c r="A101" s="149"/>
      <c r="B101" s="84" t="s">
        <v>2</v>
      </c>
      <c r="C101" s="85" t="s">
        <v>91</v>
      </c>
      <c r="D101" s="62" t="s">
        <v>0</v>
      </c>
      <c r="E101" s="62" t="s">
        <v>0</v>
      </c>
      <c r="F101" s="63" t="s">
        <v>92</v>
      </c>
      <c r="G101" s="39">
        <f>SUM(G102:G104)</f>
        <v>0</v>
      </c>
      <c r="H101" s="8">
        <f>SUM(H102:H104)</f>
        <v>2598.464</v>
      </c>
      <c r="I101" s="39">
        <f>SUM(I102:I104)</f>
        <v>0</v>
      </c>
      <c r="J101" s="39">
        <f>SUM(J102:J104)</f>
        <v>2598.464</v>
      </c>
    </row>
    <row r="102" spans="1:10" s="83" customFormat="1" ht="12" customHeight="1">
      <c r="A102" s="149"/>
      <c r="B102" s="86"/>
      <c r="C102" s="102"/>
      <c r="D102" s="53">
        <v>2212</v>
      </c>
      <c r="E102" s="88">
        <v>5169</v>
      </c>
      <c r="F102" s="18" t="s">
        <v>9</v>
      </c>
      <c r="G102" s="90">
        <v>0</v>
      </c>
      <c r="H102" s="4">
        <f>20*1.21+2.5*1.21</f>
        <v>27.224999999999998</v>
      </c>
      <c r="I102" s="5"/>
      <c r="J102" s="20">
        <f>H102+I102</f>
        <v>27.224999999999998</v>
      </c>
    </row>
    <row r="103" spans="1:10" s="83" customFormat="1" ht="12" customHeight="1">
      <c r="A103" s="149"/>
      <c r="B103" s="86"/>
      <c r="C103" s="96" t="s">
        <v>63</v>
      </c>
      <c r="D103" s="53">
        <v>2212</v>
      </c>
      <c r="E103" s="88">
        <v>5169</v>
      </c>
      <c r="F103" s="18" t="s">
        <v>9</v>
      </c>
      <c r="G103" s="90">
        <v>0</v>
      </c>
      <c r="H103" s="4">
        <f>23.595+16.94</f>
        <v>40.535</v>
      </c>
      <c r="I103" s="5"/>
      <c r="J103" s="20">
        <f>H103+I103</f>
        <v>40.535</v>
      </c>
    </row>
    <row r="104" spans="1:10" ht="12" customHeight="1" thickBot="1">
      <c r="A104" s="149"/>
      <c r="B104" s="91"/>
      <c r="C104" s="92" t="s">
        <v>63</v>
      </c>
      <c r="D104" s="52">
        <v>2212</v>
      </c>
      <c r="E104" s="93">
        <v>5171</v>
      </c>
      <c r="F104" s="94" t="s">
        <v>66</v>
      </c>
      <c r="G104" s="2">
        <v>0</v>
      </c>
      <c r="H104" s="1">
        <v>2530.704</v>
      </c>
      <c r="I104" s="1"/>
      <c r="J104" s="2">
        <f>H104+I104</f>
        <v>2530.704</v>
      </c>
    </row>
    <row r="105" spans="1:10" s="83" customFormat="1" ht="12" customHeight="1">
      <c r="A105" s="149"/>
      <c r="B105" s="84" t="s">
        <v>2</v>
      </c>
      <c r="C105" s="85" t="s">
        <v>93</v>
      </c>
      <c r="D105" s="62" t="s">
        <v>0</v>
      </c>
      <c r="E105" s="62" t="s">
        <v>0</v>
      </c>
      <c r="F105" s="63" t="s">
        <v>94</v>
      </c>
      <c r="G105" s="39">
        <f>SUM(G106:G108)</f>
        <v>0</v>
      </c>
      <c r="H105" s="8">
        <f>SUM(H106:H108)</f>
        <v>12045.525</v>
      </c>
      <c r="I105" s="39">
        <f>SUM(I106:I108)</f>
        <v>0</v>
      </c>
      <c r="J105" s="39">
        <f>SUM(J106:J108)</f>
        <v>12045.525</v>
      </c>
    </row>
    <row r="106" spans="1:10" s="83" customFormat="1" ht="12" customHeight="1">
      <c r="A106" s="149"/>
      <c r="B106" s="86"/>
      <c r="C106" s="102"/>
      <c r="D106" s="53">
        <v>2212</v>
      </c>
      <c r="E106" s="88">
        <v>5169</v>
      </c>
      <c r="F106" s="18" t="s">
        <v>9</v>
      </c>
      <c r="G106" s="90">
        <v>0</v>
      </c>
      <c r="H106" s="4">
        <f>20*1.21+2.5*1.21</f>
        <v>27.224999999999998</v>
      </c>
      <c r="I106" s="5"/>
      <c r="J106" s="20">
        <f>H106+I106</f>
        <v>27.224999999999998</v>
      </c>
    </row>
    <row r="107" spans="1:10" s="83" customFormat="1" ht="12" customHeight="1">
      <c r="A107" s="149"/>
      <c r="B107" s="86"/>
      <c r="C107" s="96" t="s">
        <v>63</v>
      </c>
      <c r="D107" s="53">
        <v>2212</v>
      </c>
      <c r="E107" s="88">
        <v>5169</v>
      </c>
      <c r="F107" s="18" t="s">
        <v>9</v>
      </c>
      <c r="G107" s="90">
        <v>0</v>
      </c>
      <c r="H107" s="4">
        <f>109.384+66.55</f>
        <v>175.934</v>
      </c>
      <c r="I107" s="5"/>
      <c r="J107" s="20">
        <f>H107+I107</f>
        <v>175.934</v>
      </c>
    </row>
    <row r="108" spans="1:10" ht="12" customHeight="1" thickBot="1">
      <c r="A108" s="149"/>
      <c r="B108" s="91"/>
      <c r="C108" s="92" t="s">
        <v>63</v>
      </c>
      <c r="D108" s="52">
        <v>2212</v>
      </c>
      <c r="E108" s="93">
        <v>5171</v>
      </c>
      <c r="F108" s="94" t="s">
        <v>66</v>
      </c>
      <c r="G108" s="2">
        <v>0</v>
      </c>
      <c r="H108" s="1">
        <f>12647.152-804.786</f>
        <v>11842.366</v>
      </c>
      <c r="I108" s="1"/>
      <c r="J108" s="2">
        <f>H108+I108</f>
        <v>11842.366</v>
      </c>
    </row>
    <row r="109" spans="1:10" s="83" customFormat="1" ht="12" customHeight="1">
      <c r="A109" s="149"/>
      <c r="B109" s="84" t="s">
        <v>2</v>
      </c>
      <c r="C109" s="85" t="s">
        <v>95</v>
      </c>
      <c r="D109" s="62" t="s">
        <v>0</v>
      </c>
      <c r="E109" s="62" t="s">
        <v>0</v>
      </c>
      <c r="F109" s="63" t="s">
        <v>96</v>
      </c>
      <c r="G109" s="39">
        <f>SUM(G110:G112)</f>
        <v>0</v>
      </c>
      <c r="H109" s="8">
        <f>SUM(H110:H112)</f>
        <v>2387.426</v>
      </c>
      <c r="I109" s="141">
        <f>SUM(I110:I112)</f>
        <v>-81.334</v>
      </c>
      <c r="J109" s="39">
        <f>SUM(J110:J112)</f>
        <v>2306.092</v>
      </c>
    </row>
    <row r="110" spans="1:10" s="83" customFormat="1" ht="12" customHeight="1">
      <c r="A110" s="149"/>
      <c r="B110" s="86"/>
      <c r="C110" s="102"/>
      <c r="D110" s="53">
        <v>2212</v>
      </c>
      <c r="E110" s="88">
        <v>5169</v>
      </c>
      <c r="F110" s="18" t="s">
        <v>9</v>
      </c>
      <c r="G110" s="90">
        <v>0</v>
      </c>
      <c r="H110" s="4">
        <f>20*1.21+2.5*1.21</f>
        <v>27.224999999999998</v>
      </c>
      <c r="I110" s="142"/>
      <c r="J110" s="20">
        <f>H110+I110</f>
        <v>27.224999999999998</v>
      </c>
    </row>
    <row r="111" spans="1:10" s="83" customFormat="1" ht="12" customHeight="1">
      <c r="A111" s="149"/>
      <c r="B111" s="86"/>
      <c r="C111" s="96" t="s">
        <v>63</v>
      </c>
      <c r="D111" s="53">
        <v>2212</v>
      </c>
      <c r="E111" s="88">
        <v>5169</v>
      </c>
      <c r="F111" s="18" t="s">
        <v>9</v>
      </c>
      <c r="G111" s="90">
        <v>0</v>
      </c>
      <c r="H111" s="4">
        <f>31.158+33.275</f>
        <v>64.43299999999999</v>
      </c>
      <c r="I111" s="142"/>
      <c r="J111" s="20">
        <f>H111+I111</f>
        <v>64.43299999999999</v>
      </c>
    </row>
    <row r="112" spans="1:10" ht="12" customHeight="1" thickBot="1">
      <c r="A112" s="149"/>
      <c r="B112" s="91"/>
      <c r="C112" s="92" t="s">
        <v>63</v>
      </c>
      <c r="D112" s="43">
        <v>2212</v>
      </c>
      <c r="E112" s="105">
        <v>5171</v>
      </c>
      <c r="F112" s="58" t="s">
        <v>66</v>
      </c>
      <c r="G112" s="2">
        <v>0</v>
      </c>
      <c r="H112" s="1">
        <v>2295.768</v>
      </c>
      <c r="I112" s="143">
        <v>-81.334</v>
      </c>
      <c r="J112" s="1">
        <f>H112+I112</f>
        <v>2214.434</v>
      </c>
    </row>
    <row r="113" spans="1:10" ht="12" customHeight="1">
      <c r="A113" s="149"/>
      <c r="B113" s="84" t="s">
        <v>2</v>
      </c>
      <c r="C113" s="56" t="s">
        <v>97</v>
      </c>
      <c r="D113" s="62" t="s">
        <v>0</v>
      </c>
      <c r="E113" s="62" t="s">
        <v>0</v>
      </c>
      <c r="F113" s="63" t="s">
        <v>98</v>
      </c>
      <c r="G113" s="39">
        <f>SUM(G114:G115)</f>
        <v>0</v>
      </c>
      <c r="H113" s="8">
        <f>SUM(H114:H115)</f>
        <v>65.945</v>
      </c>
      <c r="I113" s="39">
        <f>SUM(I114:I115)</f>
        <v>0</v>
      </c>
      <c r="J113" s="39">
        <f>SUM(J114:J115)</f>
        <v>65.945</v>
      </c>
    </row>
    <row r="114" spans="1:10" ht="12" customHeight="1">
      <c r="A114" s="149"/>
      <c r="B114" s="64"/>
      <c r="C114" s="65"/>
      <c r="D114" s="53">
        <v>2212</v>
      </c>
      <c r="E114" s="88">
        <v>5169</v>
      </c>
      <c r="F114" s="18" t="s">
        <v>9</v>
      </c>
      <c r="G114" s="4">
        <v>0</v>
      </c>
      <c r="H114" s="4">
        <v>9.892</v>
      </c>
      <c r="I114" s="4"/>
      <c r="J114" s="4">
        <f>H114+I114</f>
        <v>9.892</v>
      </c>
    </row>
    <row r="115" spans="1:10" ht="12" customHeight="1" thickBot="1">
      <c r="A115" s="149"/>
      <c r="B115" s="74"/>
      <c r="C115" s="110" t="s">
        <v>63</v>
      </c>
      <c r="D115" s="53">
        <v>2212</v>
      </c>
      <c r="E115" s="88">
        <v>5169</v>
      </c>
      <c r="F115" s="18" t="s">
        <v>9</v>
      </c>
      <c r="G115" s="3">
        <v>0</v>
      </c>
      <c r="H115" s="1">
        <v>56.053</v>
      </c>
      <c r="I115" s="1"/>
      <c r="J115" s="4">
        <f>H115+I115</f>
        <v>56.053</v>
      </c>
    </row>
    <row r="116" spans="1:10" ht="12" customHeight="1">
      <c r="A116" s="149"/>
      <c r="B116" s="84" t="s">
        <v>2</v>
      </c>
      <c r="C116" s="56" t="s">
        <v>99</v>
      </c>
      <c r="D116" s="62" t="s">
        <v>0</v>
      </c>
      <c r="E116" s="62" t="s">
        <v>0</v>
      </c>
      <c r="F116" s="63" t="s">
        <v>100</v>
      </c>
      <c r="G116" s="39">
        <f>SUM(G117:G118)</f>
        <v>0</v>
      </c>
      <c r="H116" s="8">
        <f>SUM(H117:H118)</f>
        <v>65.945</v>
      </c>
      <c r="I116" s="39">
        <f>SUM(I117:I118)</f>
        <v>0</v>
      </c>
      <c r="J116" s="39">
        <f>SUM(J117:J118)</f>
        <v>65.945</v>
      </c>
    </row>
    <row r="117" spans="1:10" ht="12" customHeight="1">
      <c r="A117" s="149"/>
      <c r="B117" s="64"/>
      <c r="C117" s="65"/>
      <c r="D117" s="53">
        <v>2212</v>
      </c>
      <c r="E117" s="88">
        <v>5169</v>
      </c>
      <c r="F117" s="18" t="s">
        <v>9</v>
      </c>
      <c r="G117" s="4">
        <v>0</v>
      </c>
      <c r="H117" s="4">
        <v>9.892</v>
      </c>
      <c r="I117" s="4"/>
      <c r="J117" s="4">
        <f>H117+I117</f>
        <v>9.892</v>
      </c>
    </row>
    <row r="118" spans="1:10" ht="12" customHeight="1" thickBot="1">
      <c r="A118" s="149"/>
      <c r="B118" s="74"/>
      <c r="C118" s="110" t="s">
        <v>63</v>
      </c>
      <c r="D118" s="53">
        <v>2212</v>
      </c>
      <c r="E118" s="88">
        <v>5169</v>
      </c>
      <c r="F118" s="18" t="s">
        <v>9</v>
      </c>
      <c r="G118" s="3">
        <v>0</v>
      </c>
      <c r="H118" s="1">
        <v>56.053</v>
      </c>
      <c r="I118" s="1"/>
      <c r="J118" s="4">
        <f>H118+I118</f>
        <v>56.053</v>
      </c>
    </row>
    <row r="119" spans="1:10" ht="12" customHeight="1">
      <c r="A119" s="149"/>
      <c r="B119" s="84" t="s">
        <v>2</v>
      </c>
      <c r="C119" s="56" t="s">
        <v>101</v>
      </c>
      <c r="D119" s="62" t="s">
        <v>0</v>
      </c>
      <c r="E119" s="62" t="s">
        <v>0</v>
      </c>
      <c r="F119" s="63" t="s">
        <v>102</v>
      </c>
      <c r="G119" s="39">
        <f>SUM(G120:G121)</f>
        <v>0</v>
      </c>
      <c r="H119" s="8">
        <f>SUM(H120:H121)</f>
        <v>59.894999999999996</v>
      </c>
      <c r="I119" s="39">
        <f>SUM(I120:I121)</f>
        <v>0</v>
      </c>
      <c r="J119" s="39">
        <f>SUM(J120:J121)</f>
        <v>59.894999999999996</v>
      </c>
    </row>
    <row r="120" spans="1:10" ht="12" customHeight="1">
      <c r="A120" s="149"/>
      <c r="B120" s="64"/>
      <c r="C120" s="65"/>
      <c r="D120" s="53">
        <v>2212</v>
      </c>
      <c r="E120" s="88">
        <v>5169</v>
      </c>
      <c r="F120" s="18" t="s">
        <v>9</v>
      </c>
      <c r="G120" s="4">
        <v>0</v>
      </c>
      <c r="H120" s="4">
        <v>8.9845</v>
      </c>
      <c r="I120" s="4"/>
      <c r="J120" s="4">
        <f>H120+I120</f>
        <v>8.9845</v>
      </c>
    </row>
    <row r="121" spans="1:10" ht="12" customHeight="1" thickBot="1">
      <c r="A121" s="149"/>
      <c r="B121" s="103"/>
      <c r="C121" s="104" t="s">
        <v>63</v>
      </c>
      <c r="D121" s="43">
        <v>2212</v>
      </c>
      <c r="E121" s="105">
        <v>5169</v>
      </c>
      <c r="F121" s="19" t="s">
        <v>9</v>
      </c>
      <c r="G121" s="1">
        <v>0</v>
      </c>
      <c r="H121" s="1">
        <v>50.9105</v>
      </c>
      <c r="I121" s="1"/>
      <c r="J121" s="1">
        <f>H121+I121</f>
        <v>50.9105</v>
      </c>
    </row>
    <row r="122" spans="1:10" ht="12" customHeight="1">
      <c r="A122" s="149"/>
      <c r="B122" s="84" t="s">
        <v>2</v>
      </c>
      <c r="C122" s="56" t="s">
        <v>103</v>
      </c>
      <c r="D122" s="62" t="s">
        <v>0</v>
      </c>
      <c r="E122" s="62" t="s">
        <v>0</v>
      </c>
      <c r="F122" s="63" t="s">
        <v>104</v>
      </c>
      <c r="G122" s="39">
        <f>SUM(G123:G125)</f>
        <v>0</v>
      </c>
      <c r="H122" s="8">
        <f>SUM(H123:H125)</f>
        <v>788.378</v>
      </c>
      <c r="I122" s="39">
        <f>SUM(I123:I125)</f>
        <v>0</v>
      </c>
      <c r="J122" s="39">
        <f>SUM(J123:J125)</f>
        <v>788.378</v>
      </c>
    </row>
    <row r="123" spans="1:10" ht="12" customHeight="1">
      <c r="A123" s="149"/>
      <c r="B123" s="64"/>
      <c r="C123" s="65"/>
      <c r="D123" s="53">
        <v>2212</v>
      </c>
      <c r="E123" s="88">
        <v>5169</v>
      </c>
      <c r="F123" s="18" t="s">
        <v>9</v>
      </c>
      <c r="G123" s="4">
        <v>0</v>
      </c>
      <c r="H123" s="4">
        <v>8.9845</v>
      </c>
      <c r="I123" s="4"/>
      <c r="J123" s="4">
        <f>H123+I123</f>
        <v>8.9845</v>
      </c>
    </row>
    <row r="124" spans="1:10" ht="12" customHeight="1">
      <c r="A124" s="149"/>
      <c r="B124" s="64"/>
      <c r="C124" s="96" t="s">
        <v>63</v>
      </c>
      <c r="D124" s="53">
        <v>2212</v>
      </c>
      <c r="E124" s="88">
        <v>5169</v>
      </c>
      <c r="F124" s="18" t="s">
        <v>9</v>
      </c>
      <c r="G124" s="4">
        <v>0</v>
      </c>
      <c r="H124" s="4">
        <f>50.9105+15.579+13.612</f>
        <v>80.10149999999999</v>
      </c>
      <c r="I124" s="4"/>
      <c r="J124" s="4">
        <f>H124+I124</f>
        <v>80.10149999999999</v>
      </c>
    </row>
    <row r="125" spans="1:10" ht="12" customHeight="1" thickBot="1">
      <c r="A125" s="149"/>
      <c r="B125" s="111"/>
      <c r="C125" s="70"/>
      <c r="D125" s="112">
        <v>2212</v>
      </c>
      <c r="E125" s="113">
        <v>5171</v>
      </c>
      <c r="F125" s="114" t="s">
        <v>66</v>
      </c>
      <c r="G125" s="5">
        <v>0</v>
      </c>
      <c r="H125" s="1">
        <f>724.393-25.101</f>
        <v>699.292</v>
      </c>
      <c r="I125" s="1"/>
      <c r="J125" s="5">
        <f>H125+I125</f>
        <v>699.292</v>
      </c>
    </row>
    <row r="126" spans="1:10" ht="12" customHeight="1">
      <c r="A126" s="149"/>
      <c r="B126" s="84" t="s">
        <v>2</v>
      </c>
      <c r="C126" s="56" t="s">
        <v>105</v>
      </c>
      <c r="D126" s="62" t="s">
        <v>0</v>
      </c>
      <c r="E126" s="62" t="s">
        <v>0</v>
      </c>
      <c r="F126" s="63" t="s">
        <v>106</v>
      </c>
      <c r="G126" s="39">
        <f>SUM(G127:G129)</f>
        <v>0</v>
      </c>
      <c r="H126" s="8">
        <f>SUM(H127:H129)</f>
        <v>1089.999</v>
      </c>
      <c r="I126" s="39">
        <f>SUM(I127:I129)</f>
        <v>0</v>
      </c>
      <c r="J126" s="39">
        <f>SUM(J127:J129)</f>
        <v>1089.999</v>
      </c>
    </row>
    <row r="127" spans="1:10" ht="12" customHeight="1">
      <c r="A127" s="149"/>
      <c r="B127" s="64"/>
      <c r="C127" s="65"/>
      <c r="D127" s="53">
        <v>2212</v>
      </c>
      <c r="E127" s="88">
        <v>5169</v>
      </c>
      <c r="F127" s="18" t="s">
        <v>9</v>
      </c>
      <c r="G127" s="4">
        <v>0</v>
      </c>
      <c r="H127" s="4">
        <v>9.892</v>
      </c>
      <c r="I127" s="4"/>
      <c r="J127" s="4">
        <f>H127+I127</f>
        <v>9.892</v>
      </c>
    </row>
    <row r="128" spans="1:10" ht="12" customHeight="1">
      <c r="A128" s="149"/>
      <c r="B128" s="115"/>
      <c r="C128" s="96" t="s">
        <v>63</v>
      </c>
      <c r="D128" s="53">
        <v>2212</v>
      </c>
      <c r="E128" s="88">
        <v>5169</v>
      </c>
      <c r="F128" s="18" t="s">
        <v>9</v>
      </c>
      <c r="G128" s="4">
        <v>0</v>
      </c>
      <c r="H128" s="4">
        <f>56.053+36.3+40.559</f>
        <v>132.91199999999998</v>
      </c>
      <c r="I128" s="4"/>
      <c r="J128" s="4">
        <f>H128+I128</f>
        <v>132.91199999999998</v>
      </c>
    </row>
    <row r="129" spans="1:10" ht="12" customHeight="1" thickBot="1">
      <c r="A129" s="149"/>
      <c r="B129" s="116"/>
      <c r="C129" s="70"/>
      <c r="D129" s="112">
        <v>2212</v>
      </c>
      <c r="E129" s="113">
        <v>5171</v>
      </c>
      <c r="F129" s="114" t="s">
        <v>66</v>
      </c>
      <c r="G129" s="3">
        <v>0</v>
      </c>
      <c r="H129" s="1">
        <v>947.195</v>
      </c>
      <c r="I129" s="1"/>
      <c r="J129" s="5">
        <f>H129+I129</f>
        <v>947.195</v>
      </c>
    </row>
    <row r="130" spans="1:10" ht="12" customHeight="1">
      <c r="A130" s="149"/>
      <c r="B130" s="84" t="s">
        <v>2</v>
      </c>
      <c r="C130" s="56" t="s">
        <v>107</v>
      </c>
      <c r="D130" s="62" t="s">
        <v>0</v>
      </c>
      <c r="E130" s="62" t="s">
        <v>0</v>
      </c>
      <c r="F130" s="63" t="s">
        <v>108</v>
      </c>
      <c r="G130" s="39">
        <f>SUM(G131:G133)</f>
        <v>0</v>
      </c>
      <c r="H130" s="39">
        <f>SUM(H131:H133)</f>
        <v>784.266</v>
      </c>
      <c r="I130" s="39">
        <f>SUM(I131:I133)</f>
        <v>0</v>
      </c>
      <c r="J130" s="39">
        <f>SUM(J131:J133)</f>
        <v>784.266</v>
      </c>
    </row>
    <row r="131" spans="1:10" ht="12" customHeight="1">
      <c r="A131" s="149"/>
      <c r="B131" s="64"/>
      <c r="C131" s="65"/>
      <c r="D131" s="53">
        <v>2212</v>
      </c>
      <c r="E131" s="88">
        <v>5169</v>
      </c>
      <c r="F131" s="18" t="s">
        <v>9</v>
      </c>
      <c r="G131" s="4">
        <v>0</v>
      </c>
      <c r="H131" s="4">
        <v>8.9845</v>
      </c>
      <c r="I131" s="4"/>
      <c r="J131" s="4">
        <f>H131+I131</f>
        <v>8.9845</v>
      </c>
    </row>
    <row r="132" spans="1:10" ht="12" customHeight="1">
      <c r="A132" s="149"/>
      <c r="B132" s="64"/>
      <c r="C132" s="96" t="s">
        <v>63</v>
      </c>
      <c r="D132" s="53">
        <v>2212</v>
      </c>
      <c r="E132" s="88">
        <v>5169</v>
      </c>
      <c r="F132" s="18" t="s">
        <v>9</v>
      </c>
      <c r="G132" s="4">
        <v>0</v>
      </c>
      <c r="H132" s="4">
        <f>50.9105+15.579+13.613</f>
        <v>80.10249999999999</v>
      </c>
      <c r="I132" s="4"/>
      <c r="J132" s="4">
        <f>H132+I132</f>
        <v>80.10249999999999</v>
      </c>
    </row>
    <row r="133" spans="1:10" ht="12" customHeight="1" thickBot="1">
      <c r="A133" s="149"/>
      <c r="B133" s="91"/>
      <c r="C133" s="92" t="s">
        <v>63</v>
      </c>
      <c r="D133" s="52">
        <v>2212</v>
      </c>
      <c r="E133" s="93">
        <v>5171</v>
      </c>
      <c r="F133" s="94" t="s">
        <v>66</v>
      </c>
      <c r="G133" s="2">
        <v>0</v>
      </c>
      <c r="H133" s="2">
        <v>695.179</v>
      </c>
      <c r="I133" s="2"/>
      <c r="J133" s="2">
        <f>H133+I133</f>
        <v>695.179</v>
      </c>
    </row>
    <row r="134" spans="1:10" ht="12" customHeight="1">
      <c r="A134" s="149"/>
      <c r="B134" s="84" t="s">
        <v>2</v>
      </c>
      <c r="C134" s="56" t="s">
        <v>109</v>
      </c>
      <c r="D134" s="62" t="s">
        <v>0</v>
      </c>
      <c r="E134" s="62" t="s">
        <v>0</v>
      </c>
      <c r="F134" s="63" t="s">
        <v>110</v>
      </c>
      <c r="G134" s="39">
        <f>SUM(G135:G136)</f>
        <v>0</v>
      </c>
      <c r="H134" s="8">
        <f>SUM(H135:H136)</f>
        <v>65.945</v>
      </c>
      <c r="I134" s="39">
        <f>SUM(I135:I136)</f>
        <v>0</v>
      </c>
      <c r="J134" s="39">
        <f>SUM(J135:J136)</f>
        <v>65.945</v>
      </c>
    </row>
    <row r="135" spans="1:10" ht="12" customHeight="1">
      <c r="A135" s="149"/>
      <c r="B135" s="64"/>
      <c r="C135" s="65"/>
      <c r="D135" s="53">
        <v>2212</v>
      </c>
      <c r="E135" s="88">
        <v>5169</v>
      </c>
      <c r="F135" s="18" t="s">
        <v>9</v>
      </c>
      <c r="G135" s="4">
        <v>0</v>
      </c>
      <c r="H135" s="4">
        <v>9.892</v>
      </c>
      <c r="I135" s="4"/>
      <c r="J135" s="4">
        <f>H135+I135</f>
        <v>9.892</v>
      </c>
    </row>
    <row r="136" spans="1:10" ht="12" customHeight="1" thickBot="1">
      <c r="A136" s="149"/>
      <c r="B136" s="103"/>
      <c r="C136" s="104" t="s">
        <v>63</v>
      </c>
      <c r="D136" s="43">
        <v>2212</v>
      </c>
      <c r="E136" s="105">
        <v>5169</v>
      </c>
      <c r="F136" s="19" t="s">
        <v>9</v>
      </c>
      <c r="G136" s="1">
        <v>0</v>
      </c>
      <c r="H136" s="1">
        <v>56.053</v>
      </c>
      <c r="I136" s="1"/>
      <c r="J136" s="1">
        <f>H136+I136</f>
        <v>56.053</v>
      </c>
    </row>
    <row r="137" spans="1:10" ht="12" customHeight="1">
      <c r="A137" s="149"/>
      <c r="B137" s="84" t="s">
        <v>2</v>
      </c>
      <c r="C137" s="56" t="s">
        <v>111</v>
      </c>
      <c r="D137" s="62" t="s">
        <v>0</v>
      </c>
      <c r="E137" s="62" t="s">
        <v>0</v>
      </c>
      <c r="F137" s="63" t="s">
        <v>112</v>
      </c>
      <c r="G137" s="39">
        <f>SUM(G138:G140)</f>
        <v>0</v>
      </c>
      <c r="H137" s="8">
        <f>SUM(H138:H140)</f>
        <v>1071.018</v>
      </c>
      <c r="I137" s="39">
        <f>SUM(I138:I140)</f>
        <v>0</v>
      </c>
      <c r="J137" s="39">
        <f>SUM(J138:J140)</f>
        <v>1071.018</v>
      </c>
    </row>
    <row r="138" spans="1:10" ht="12" customHeight="1">
      <c r="A138" s="149"/>
      <c r="B138" s="64"/>
      <c r="C138" s="65"/>
      <c r="D138" s="53">
        <v>2212</v>
      </c>
      <c r="E138" s="88">
        <v>5169</v>
      </c>
      <c r="F138" s="18" t="s">
        <v>9</v>
      </c>
      <c r="G138" s="4">
        <v>0</v>
      </c>
      <c r="H138" s="4">
        <v>8.9845</v>
      </c>
      <c r="I138" s="4"/>
      <c r="J138" s="4">
        <f>H138+I138</f>
        <v>8.9845</v>
      </c>
    </row>
    <row r="139" spans="1:10" ht="12" customHeight="1">
      <c r="A139" s="149"/>
      <c r="B139" s="64"/>
      <c r="C139" s="96" t="s">
        <v>63</v>
      </c>
      <c r="D139" s="53">
        <v>2212</v>
      </c>
      <c r="E139" s="88">
        <v>5169</v>
      </c>
      <c r="F139" s="18" t="s">
        <v>9</v>
      </c>
      <c r="G139" s="4">
        <v>0</v>
      </c>
      <c r="H139" s="4">
        <f>50.9105+16.311+20.207</f>
        <v>87.42849999999999</v>
      </c>
      <c r="I139" s="4"/>
      <c r="J139" s="4">
        <f>H139+I139</f>
        <v>87.42849999999999</v>
      </c>
    </row>
    <row r="140" spans="1:10" ht="12" customHeight="1" thickBot="1">
      <c r="A140" s="149"/>
      <c r="B140" s="91"/>
      <c r="C140" s="92" t="s">
        <v>63</v>
      </c>
      <c r="D140" s="52">
        <v>2212</v>
      </c>
      <c r="E140" s="93">
        <v>5171</v>
      </c>
      <c r="F140" s="94" t="s">
        <v>66</v>
      </c>
      <c r="G140" s="2">
        <v>0</v>
      </c>
      <c r="H140" s="1">
        <v>974.605</v>
      </c>
      <c r="I140" s="1"/>
      <c r="J140" s="2">
        <f>H140+I140</f>
        <v>974.605</v>
      </c>
    </row>
    <row r="141" spans="1:10" ht="12" customHeight="1">
      <c r="A141" s="149"/>
      <c r="B141" s="84" t="s">
        <v>2</v>
      </c>
      <c r="C141" s="56" t="s">
        <v>113</v>
      </c>
      <c r="D141" s="62" t="s">
        <v>0</v>
      </c>
      <c r="E141" s="62" t="s">
        <v>0</v>
      </c>
      <c r="F141" s="63" t="s">
        <v>114</v>
      </c>
      <c r="G141" s="39">
        <f>SUM(G142:G143)</f>
        <v>0</v>
      </c>
      <c r="H141" s="8">
        <f>SUM(H142:H143)</f>
        <v>65.945</v>
      </c>
      <c r="I141" s="39">
        <f>SUM(I142:I143)</f>
        <v>0</v>
      </c>
      <c r="J141" s="39">
        <f>SUM(J142:J143)</f>
        <v>65.945</v>
      </c>
    </row>
    <row r="142" spans="1:10" ht="12" customHeight="1">
      <c r="A142" s="149"/>
      <c r="B142" s="64"/>
      <c r="C142" s="65"/>
      <c r="D142" s="53">
        <v>2212</v>
      </c>
      <c r="E142" s="88">
        <v>5169</v>
      </c>
      <c r="F142" s="18" t="s">
        <v>9</v>
      </c>
      <c r="G142" s="4">
        <v>0</v>
      </c>
      <c r="H142" s="4">
        <v>9.892</v>
      </c>
      <c r="I142" s="4"/>
      <c r="J142" s="4">
        <f>H142+I142</f>
        <v>9.892</v>
      </c>
    </row>
    <row r="143" spans="1:10" ht="12" customHeight="1" thickBot="1">
      <c r="A143" s="149"/>
      <c r="B143" s="74"/>
      <c r="C143" s="110" t="s">
        <v>63</v>
      </c>
      <c r="D143" s="53">
        <v>2212</v>
      </c>
      <c r="E143" s="88">
        <v>5169</v>
      </c>
      <c r="F143" s="18" t="s">
        <v>9</v>
      </c>
      <c r="G143" s="3">
        <v>0</v>
      </c>
      <c r="H143" s="1">
        <v>56.053</v>
      </c>
      <c r="I143" s="1"/>
      <c r="J143" s="4">
        <f>H143+I143</f>
        <v>56.053</v>
      </c>
    </row>
    <row r="144" spans="1:10" ht="12" customHeight="1">
      <c r="A144" s="149"/>
      <c r="B144" s="84" t="s">
        <v>2</v>
      </c>
      <c r="C144" s="56" t="s">
        <v>115</v>
      </c>
      <c r="D144" s="62" t="s">
        <v>0</v>
      </c>
      <c r="E144" s="62" t="s">
        <v>0</v>
      </c>
      <c r="F144" s="63" t="s">
        <v>116</v>
      </c>
      <c r="G144" s="39">
        <f>SUM(G145:G147)</f>
        <v>0</v>
      </c>
      <c r="H144" s="8">
        <f>SUM(H145:H147)</f>
        <v>2172.6870000000004</v>
      </c>
      <c r="I144" s="39">
        <f>SUM(I145:I147)</f>
        <v>0</v>
      </c>
      <c r="J144" s="39">
        <f>SUM(J145:J147)</f>
        <v>2172.6870000000004</v>
      </c>
    </row>
    <row r="145" spans="1:10" ht="12" customHeight="1">
      <c r="A145" s="149"/>
      <c r="B145" s="64"/>
      <c r="C145" s="65"/>
      <c r="D145" s="53">
        <v>2212</v>
      </c>
      <c r="E145" s="88">
        <v>5169</v>
      </c>
      <c r="F145" s="18" t="s">
        <v>9</v>
      </c>
      <c r="G145" s="4">
        <v>0</v>
      </c>
      <c r="H145" s="4">
        <v>9.892</v>
      </c>
      <c r="I145" s="4"/>
      <c r="J145" s="4">
        <f>H145+I145</f>
        <v>9.892</v>
      </c>
    </row>
    <row r="146" spans="1:10" ht="12" customHeight="1">
      <c r="A146" s="149"/>
      <c r="B146" s="64"/>
      <c r="C146" s="96" t="s">
        <v>63</v>
      </c>
      <c r="D146" s="53">
        <v>2212</v>
      </c>
      <c r="E146" s="88">
        <v>5169</v>
      </c>
      <c r="F146" s="18" t="s">
        <v>9</v>
      </c>
      <c r="G146" s="4">
        <v>0</v>
      </c>
      <c r="H146" s="4">
        <f>56.053+16.311+20.207</f>
        <v>92.571</v>
      </c>
      <c r="I146" s="4"/>
      <c r="J146" s="4">
        <f>H146+I146</f>
        <v>92.571</v>
      </c>
    </row>
    <row r="147" spans="1:10" ht="12" customHeight="1" thickBot="1">
      <c r="A147" s="149"/>
      <c r="B147" s="91"/>
      <c r="C147" s="70"/>
      <c r="D147" s="52">
        <v>2212</v>
      </c>
      <c r="E147" s="93">
        <v>5171</v>
      </c>
      <c r="F147" s="94" t="s">
        <v>66</v>
      </c>
      <c r="G147" s="2">
        <v>0</v>
      </c>
      <c r="H147" s="1">
        <v>2070.224</v>
      </c>
      <c r="I147" s="1"/>
      <c r="J147" s="2">
        <f>H147+I147</f>
        <v>2070.224</v>
      </c>
    </row>
    <row r="148" spans="1:10" ht="12" customHeight="1">
      <c r="A148" s="149"/>
      <c r="B148" s="84" t="s">
        <v>2</v>
      </c>
      <c r="C148" s="56" t="s">
        <v>117</v>
      </c>
      <c r="D148" s="62" t="s">
        <v>0</v>
      </c>
      <c r="E148" s="62" t="s">
        <v>0</v>
      </c>
      <c r="F148" s="63" t="s">
        <v>118</v>
      </c>
      <c r="G148" s="39">
        <f>SUM(G149:G151)</f>
        <v>0</v>
      </c>
      <c r="H148" s="8">
        <f>SUM(H149:H151)</f>
        <v>668.235</v>
      </c>
      <c r="I148" s="39">
        <f>SUM(I149:I151)</f>
        <v>0</v>
      </c>
      <c r="J148" s="39">
        <f>SUM(J149:J151)</f>
        <v>668.235</v>
      </c>
    </row>
    <row r="149" spans="1:10" ht="12" customHeight="1">
      <c r="A149" s="149"/>
      <c r="B149" s="64"/>
      <c r="C149" s="65"/>
      <c r="D149" s="53">
        <v>2212</v>
      </c>
      <c r="E149" s="88">
        <v>5169</v>
      </c>
      <c r="F149" s="18" t="s">
        <v>9</v>
      </c>
      <c r="G149" s="4">
        <v>0</v>
      </c>
      <c r="H149" s="4">
        <v>8.9845</v>
      </c>
      <c r="I149" s="4"/>
      <c r="J149" s="4">
        <f>H149+I149</f>
        <v>8.9845</v>
      </c>
    </row>
    <row r="150" spans="1:10" ht="12" customHeight="1">
      <c r="A150" s="149"/>
      <c r="B150" s="64"/>
      <c r="C150" s="117" t="s">
        <v>63</v>
      </c>
      <c r="D150" s="53">
        <v>2212</v>
      </c>
      <c r="E150" s="88">
        <v>5169</v>
      </c>
      <c r="F150" s="18" t="s">
        <v>9</v>
      </c>
      <c r="G150" s="5">
        <v>0</v>
      </c>
      <c r="H150" s="4">
        <f>50.9105+13.6+20.207</f>
        <v>84.7175</v>
      </c>
      <c r="I150" s="4"/>
      <c r="J150" s="4">
        <f>H150+I150</f>
        <v>84.7175</v>
      </c>
    </row>
    <row r="151" spans="1:10" ht="12" customHeight="1" thickBot="1">
      <c r="A151" s="149"/>
      <c r="B151" s="91"/>
      <c r="C151" s="70"/>
      <c r="D151" s="52">
        <v>2212</v>
      </c>
      <c r="E151" s="93">
        <v>5171</v>
      </c>
      <c r="F151" s="94" t="s">
        <v>66</v>
      </c>
      <c r="G151" s="2">
        <v>0</v>
      </c>
      <c r="H151" s="1">
        <v>574.533</v>
      </c>
      <c r="I151" s="1"/>
      <c r="J151" s="2">
        <f>H151+I151</f>
        <v>574.533</v>
      </c>
    </row>
    <row r="152" spans="1:10" ht="12" customHeight="1">
      <c r="A152" s="149"/>
      <c r="B152" s="84" t="s">
        <v>2</v>
      </c>
      <c r="C152" s="56" t="s">
        <v>119</v>
      </c>
      <c r="D152" s="62" t="s">
        <v>0</v>
      </c>
      <c r="E152" s="62" t="s">
        <v>0</v>
      </c>
      <c r="F152" s="63" t="s">
        <v>120</v>
      </c>
      <c r="G152" s="39">
        <f>SUM(G153:G155)</f>
        <v>0</v>
      </c>
      <c r="H152" s="8">
        <f>SUM(H153:H155)</f>
        <v>914.338</v>
      </c>
      <c r="I152" s="141">
        <f>SUM(I153:I155)</f>
        <v>-107.415</v>
      </c>
      <c r="J152" s="39">
        <f>SUM(J153:J155)</f>
        <v>806.923</v>
      </c>
    </row>
    <row r="153" spans="1:10" ht="12" customHeight="1">
      <c r="A153" s="149"/>
      <c r="B153" s="64"/>
      <c r="C153" s="65"/>
      <c r="D153" s="53">
        <v>2212</v>
      </c>
      <c r="E153" s="88">
        <v>5169</v>
      </c>
      <c r="F153" s="18" t="s">
        <v>9</v>
      </c>
      <c r="G153" s="4">
        <v>0</v>
      </c>
      <c r="H153" s="4">
        <v>11.707</v>
      </c>
      <c r="I153" s="144"/>
      <c r="J153" s="4">
        <f>H153+I153</f>
        <v>11.707</v>
      </c>
    </row>
    <row r="154" spans="1:10" ht="12" customHeight="1">
      <c r="A154" s="149"/>
      <c r="B154" s="64"/>
      <c r="C154" s="96" t="s">
        <v>63</v>
      </c>
      <c r="D154" s="53">
        <v>2212</v>
      </c>
      <c r="E154" s="88">
        <v>5169</v>
      </c>
      <c r="F154" s="18" t="s">
        <v>9</v>
      </c>
      <c r="G154" s="4">
        <v>0</v>
      </c>
      <c r="H154" s="4">
        <f>66.338+11.797+8.47</f>
        <v>86.60499999999999</v>
      </c>
      <c r="I154" s="144"/>
      <c r="J154" s="4">
        <f>H154+I154</f>
        <v>86.60499999999999</v>
      </c>
    </row>
    <row r="155" spans="1:10" ht="12" customHeight="1" thickBot="1">
      <c r="A155" s="149"/>
      <c r="B155" s="64"/>
      <c r="C155" s="65"/>
      <c r="D155" s="53">
        <v>2212</v>
      </c>
      <c r="E155" s="88">
        <v>5171</v>
      </c>
      <c r="F155" s="89" t="s">
        <v>66</v>
      </c>
      <c r="G155" s="4">
        <v>0</v>
      </c>
      <c r="H155" s="1">
        <v>816.026</v>
      </c>
      <c r="I155" s="143">
        <v>-107.415</v>
      </c>
      <c r="J155" s="4">
        <f>H155+I155</f>
        <v>708.611</v>
      </c>
    </row>
    <row r="156" spans="1:10" ht="12" customHeight="1">
      <c r="A156" s="149"/>
      <c r="B156" s="84" t="s">
        <v>2</v>
      </c>
      <c r="C156" s="56" t="s">
        <v>121</v>
      </c>
      <c r="D156" s="62" t="s">
        <v>0</v>
      </c>
      <c r="E156" s="62" t="s">
        <v>0</v>
      </c>
      <c r="F156" s="63" t="s">
        <v>122</v>
      </c>
      <c r="G156" s="39">
        <f>SUM(G157:G159)</f>
        <v>0</v>
      </c>
      <c r="H156" s="8">
        <f>SUM(H157:H159)</f>
        <v>2110.902</v>
      </c>
      <c r="I156" s="39">
        <f>SUM(I157:I159)</f>
        <v>0</v>
      </c>
      <c r="J156" s="39">
        <f>SUM(J157:J159)</f>
        <v>2110.902</v>
      </c>
    </row>
    <row r="157" spans="1:10" ht="12" customHeight="1">
      <c r="A157" s="149"/>
      <c r="B157" s="64"/>
      <c r="C157" s="65"/>
      <c r="D157" s="53">
        <v>2212</v>
      </c>
      <c r="E157" s="88">
        <v>5169</v>
      </c>
      <c r="F157" s="18" t="s">
        <v>9</v>
      </c>
      <c r="G157" s="4">
        <v>0</v>
      </c>
      <c r="H157" s="4">
        <v>11.707</v>
      </c>
      <c r="I157" s="4"/>
      <c r="J157" s="4">
        <f>H157+I157</f>
        <v>11.707</v>
      </c>
    </row>
    <row r="158" spans="1:10" ht="12" customHeight="1">
      <c r="A158" s="149"/>
      <c r="B158" s="64"/>
      <c r="C158" s="96" t="s">
        <v>63</v>
      </c>
      <c r="D158" s="53">
        <v>2212</v>
      </c>
      <c r="E158" s="88">
        <v>5169</v>
      </c>
      <c r="F158" s="18" t="s">
        <v>9</v>
      </c>
      <c r="G158" s="4">
        <v>0</v>
      </c>
      <c r="H158" s="4">
        <f>66.338+11.798+8.47</f>
        <v>86.606</v>
      </c>
      <c r="I158" s="4"/>
      <c r="J158" s="4">
        <f>H158+I158</f>
        <v>86.606</v>
      </c>
    </row>
    <row r="159" spans="1:10" ht="12" customHeight="1" thickBot="1">
      <c r="A159" s="149"/>
      <c r="B159" s="64"/>
      <c r="C159" s="65"/>
      <c r="D159" s="53">
        <v>2212</v>
      </c>
      <c r="E159" s="88">
        <v>5171</v>
      </c>
      <c r="F159" s="89" t="s">
        <v>66</v>
      </c>
      <c r="G159" s="4">
        <v>0</v>
      </c>
      <c r="H159" s="1">
        <v>2012.589</v>
      </c>
      <c r="I159" s="1"/>
      <c r="J159" s="4">
        <f>H159+I159</f>
        <v>2012.589</v>
      </c>
    </row>
    <row r="160" spans="1:10" ht="12" customHeight="1">
      <c r="A160" s="149"/>
      <c r="B160" s="84" t="s">
        <v>2</v>
      </c>
      <c r="C160" s="56" t="s">
        <v>123</v>
      </c>
      <c r="D160" s="62" t="s">
        <v>0</v>
      </c>
      <c r="E160" s="62" t="s">
        <v>0</v>
      </c>
      <c r="F160" s="63" t="s">
        <v>124</v>
      </c>
      <c r="G160" s="39">
        <f>SUM(G161:G163)</f>
        <v>0</v>
      </c>
      <c r="H160" s="8">
        <f>SUM(H161:H163)</f>
        <v>1494.1889999999999</v>
      </c>
      <c r="I160" s="141">
        <f>SUM(I161:I163)</f>
        <v>-36.518</v>
      </c>
      <c r="J160" s="39">
        <f>SUM(J161:J163)</f>
        <v>1457.6709999999998</v>
      </c>
    </row>
    <row r="161" spans="1:10" ht="12" customHeight="1">
      <c r="A161" s="149"/>
      <c r="B161" s="64"/>
      <c r="C161" s="65"/>
      <c r="D161" s="53">
        <v>2212</v>
      </c>
      <c r="E161" s="88">
        <v>5169</v>
      </c>
      <c r="F161" s="18" t="s">
        <v>9</v>
      </c>
      <c r="G161" s="4">
        <v>0</v>
      </c>
      <c r="H161" s="4">
        <v>15.337</v>
      </c>
      <c r="I161" s="144"/>
      <c r="J161" s="4">
        <f>H161+I161</f>
        <v>15.337</v>
      </c>
    </row>
    <row r="162" spans="1:10" ht="12" customHeight="1">
      <c r="A162" s="149"/>
      <c r="B162" s="64"/>
      <c r="C162" s="96" t="s">
        <v>63</v>
      </c>
      <c r="D162" s="53">
        <v>2212</v>
      </c>
      <c r="E162" s="88">
        <v>5169</v>
      </c>
      <c r="F162" s="18" t="s">
        <v>9</v>
      </c>
      <c r="G162" s="4">
        <v>0</v>
      </c>
      <c r="H162" s="4">
        <f>86.908+11.797+8.47</f>
        <v>107.175</v>
      </c>
      <c r="I162" s="144"/>
      <c r="J162" s="4">
        <f>H162+I162</f>
        <v>107.175</v>
      </c>
    </row>
    <row r="163" spans="1:10" ht="12" customHeight="1" thickBot="1">
      <c r="A163" s="149"/>
      <c r="B163" s="64"/>
      <c r="C163" s="65"/>
      <c r="D163" s="53">
        <v>2212</v>
      </c>
      <c r="E163" s="88">
        <v>5171</v>
      </c>
      <c r="F163" s="89" t="s">
        <v>66</v>
      </c>
      <c r="G163" s="4">
        <v>0</v>
      </c>
      <c r="H163" s="1">
        <v>1371.677</v>
      </c>
      <c r="I163" s="143">
        <v>-36.518</v>
      </c>
      <c r="J163" s="4">
        <f>H163+I163</f>
        <v>1335.1589999999999</v>
      </c>
    </row>
    <row r="164" spans="1:10" ht="12" customHeight="1">
      <c r="A164" s="149"/>
      <c r="B164" s="84" t="s">
        <v>2</v>
      </c>
      <c r="C164" s="56" t="s">
        <v>125</v>
      </c>
      <c r="D164" s="62" t="s">
        <v>0</v>
      </c>
      <c r="E164" s="62" t="s">
        <v>0</v>
      </c>
      <c r="F164" s="63" t="s">
        <v>126</v>
      </c>
      <c r="G164" s="39">
        <f>SUM(G165:G166)</f>
        <v>0</v>
      </c>
      <c r="H164" s="8">
        <f>SUM(H165:H166)</f>
        <v>65.945</v>
      </c>
      <c r="I164" s="39">
        <f>SUM(I165:I166)</f>
        <v>0</v>
      </c>
      <c r="J164" s="39">
        <f>SUM(J165:J166)</f>
        <v>65.945</v>
      </c>
    </row>
    <row r="165" spans="1:10" ht="12" customHeight="1">
      <c r="A165" s="149"/>
      <c r="B165" s="64"/>
      <c r="C165" s="65"/>
      <c r="D165" s="53">
        <v>2212</v>
      </c>
      <c r="E165" s="88">
        <v>5169</v>
      </c>
      <c r="F165" s="18" t="s">
        <v>9</v>
      </c>
      <c r="G165" s="4">
        <v>0</v>
      </c>
      <c r="H165" s="4">
        <v>9.892</v>
      </c>
      <c r="I165" s="4"/>
      <c r="J165" s="4">
        <f>H165+I165</f>
        <v>9.892</v>
      </c>
    </row>
    <row r="166" spans="1:10" ht="12" customHeight="1" thickBot="1">
      <c r="A166" s="149"/>
      <c r="B166" s="74"/>
      <c r="C166" s="110" t="s">
        <v>63</v>
      </c>
      <c r="D166" s="53">
        <v>2212</v>
      </c>
      <c r="E166" s="88">
        <v>5169</v>
      </c>
      <c r="F166" s="18" t="s">
        <v>9</v>
      </c>
      <c r="G166" s="3">
        <v>0</v>
      </c>
      <c r="H166" s="1">
        <v>56.053</v>
      </c>
      <c r="I166" s="1"/>
      <c r="J166" s="4">
        <f>H166+I166</f>
        <v>56.053</v>
      </c>
    </row>
    <row r="167" spans="1:10" ht="12" customHeight="1">
      <c r="A167" s="149"/>
      <c r="B167" s="84" t="s">
        <v>2</v>
      </c>
      <c r="C167" s="56" t="s">
        <v>127</v>
      </c>
      <c r="D167" s="62" t="s">
        <v>0</v>
      </c>
      <c r="E167" s="62" t="s">
        <v>0</v>
      </c>
      <c r="F167" s="63" t="s">
        <v>128</v>
      </c>
      <c r="G167" s="39">
        <f>SUM(G168:G170)</f>
        <v>0</v>
      </c>
      <c r="H167" s="8">
        <f>SUM(H168:H170)</f>
        <v>353.356</v>
      </c>
      <c r="I167" s="39">
        <f>SUM(I168:I170)</f>
        <v>0</v>
      </c>
      <c r="J167" s="39">
        <f>SUM(J168:J170)</f>
        <v>353.356</v>
      </c>
    </row>
    <row r="168" spans="1:10" ht="12" customHeight="1">
      <c r="A168" s="149"/>
      <c r="B168" s="64"/>
      <c r="C168" s="65"/>
      <c r="D168" s="53">
        <v>2212</v>
      </c>
      <c r="E168" s="88">
        <v>5169</v>
      </c>
      <c r="F168" s="18" t="s">
        <v>9</v>
      </c>
      <c r="G168" s="4">
        <v>0</v>
      </c>
      <c r="H168" s="4">
        <v>9.892</v>
      </c>
      <c r="I168" s="4"/>
      <c r="J168" s="4">
        <f>H168+I168</f>
        <v>9.892</v>
      </c>
    </row>
    <row r="169" spans="1:10" ht="12" customHeight="1">
      <c r="A169" s="149"/>
      <c r="B169" s="64"/>
      <c r="C169" s="117" t="s">
        <v>63</v>
      </c>
      <c r="D169" s="53">
        <v>2212</v>
      </c>
      <c r="E169" s="88">
        <v>5169</v>
      </c>
      <c r="F169" s="18" t="s">
        <v>9</v>
      </c>
      <c r="G169" s="5">
        <v>0</v>
      </c>
      <c r="H169" s="4">
        <f>56.053+16.637+5.107</f>
        <v>77.797</v>
      </c>
      <c r="I169" s="4"/>
      <c r="J169" s="4">
        <f>H169+I169</f>
        <v>77.797</v>
      </c>
    </row>
    <row r="170" spans="1:10" ht="12" customHeight="1" thickBot="1">
      <c r="A170" s="149"/>
      <c r="B170" s="64"/>
      <c r="C170" s="65"/>
      <c r="D170" s="53">
        <v>2212</v>
      </c>
      <c r="E170" s="88">
        <v>5171</v>
      </c>
      <c r="F170" s="89" t="s">
        <v>66</v>
      </c>
      <c r="G170" s="4">
        <v>0</v>
      </c>
      <c r="H170" s="1">
        <f>265.909-0.242</f>
        <v>265.667</v>
      </c>
      <c r="I170" s="1"/>
      <c r="J170" s="4">
        <f>H170+I170</f>
        <v>265.667</v>
      </c>
    </row>
    <row r="171" spans="1:10" ht="12" customHeight="1">
      <c r="A171" s="149"/>
      <c r="B171" s="84" t="s">
        <v>2</v>
      </c>
      <c r="C171" s="56" t="s">
        <v>129</v>
      </c>
      <c r="D171" s="62" t="s">
        <v>0</v>
      </c>
      <c r="E171" s="62" t="s">
        <v>0</v>
      </c>
      <c r="F171" s="63" t="s">
        <v>130</v>
      </c>
      <c r="G171" s="39">
        <f>SUM(G172:G174)</f>
        <v>0</v>
      </c>
      <c r="H171" s="8">
        <f>SUM(H172:H174)</f>
        <v>1907.641</v>
      </c>
      <c r="I171" s="39">
        <f>SUM(I172:I174)</f>
        <v>0</v>
      </c>
      <c r="J171" s="39">
        <f>SUM(J172:J174)</f>
        <v>1907.641</v>
      </c>
    </row>
    <row r="172" spans="1:10" ht="12" customHeight="1">
      <c r="A172" s="149"/>
      <c r="B172" s="64"/>
      <c r="C172" s="65"/>
      <c r="D172" s="53">
        <v>2212</v>
      </c>
      <c r="E172" s="88">
        <v>5169</v>
      </c>
      <c r="F172" s="18" t="s">
        <v>9</v>
      </c>
      <c r="G172" s="4">
        <v>0</v>
      </c>
      <c r="H172" s="4">
        <v>8.9845</v>
      </c>
      <c r="I172" s="4"/>
      <c r="J172" s="4">
        <f>H172+I172</f>
        <v>8.9845</v>
      </c>
    </row>
    <row r="173" spans="1:10" ht="12" customHeight="1">
      <c r="A173" s="149"/>
      <c r="B173" s="64"/>
      <c r="C173" s="117" t="s">
        <v>63</v>
      </c>
      <c r="D173" s="53">
        <v>2212</v>
      </c>
      <c r="E173" s="88">
        <v>5169</v>
      </c>
      <c r="F173" s="18" t="s">
        <v>9</v>
      </c>
      <c r="G173" s="5">
        <v>0</v>
      </c>
      <c r="H173" s="4">
        <f>50.9105+16.638+5.108</f>
        <v>72.65650000000001</v>
      </c>
      <c r="I173" s="4"/>
      <c r="J173" s="4">
        <f>H173+I173</f>
        <v>72.65650000000001</v>
      </c>
    </row>
    <row r="174" spans="1:10" ht="12" customHeight="1" thickBot="1">
      <c r="A174" s="149"/>
      <c r="B174" s="64"/>
      <c r="C174" s="65"/>
      <c r="D174" s="53">
        <v>2212</v>
      </c>
      <c r="E174" s="88">
        <v>5171</v>
      </c>
      <c r="F174" s="89" t="s">
        <v>66</v>
      </c>
      <c r="G174" s="4">
        <v>0</v>
      </c>
      <c r="H174" s="1">
        <f>1883.224-57.224</f>
        <v>1826</v>
      </c>
      <c r="I174" s="1"/>
      <c r="J174" s="4">
        <f>H174+I174</f>
        <v>1826</v>
      </c>
    </row>
    <row r="175" spans="1:10" ht="12" customHeight="1">
      <c r="A175" s="149"/>
      <c r="B175" s="84" t="s">
        <v>2</v>
      </c>
      <c r="C175" s="56" t="s">
        <v>131</v>
      </c>
      <c r="D175" s="62" t="s">
        <v>0</v>
      </c>
      <c r="E175" s="62" t="s">
        <v>0</v>
      </c>
      <c r="F175" s="63" t="s">
        <v>132</v>
      </c>
      <c r="G175" s="39">
        <f>SUM(G176:G178)</f>
        <v>0</v>
      </c>
      <c r="H175" s="8">
        <f>SUM(H176:H178)</f>
        <v>574.336</v>
      </c>
      <c r="I175" s="39">
        <f>SUM(I176:I178)</f>
        <v>0</v>
      </c>
      <c r="J175" s="39">
        <f>SUM(J176:J178)</f>
        <v>574.336</v>
      </c>
    </row>
    <row r="176" spans="1:10" ht="12" customHeight="1">
      <c r="A176" s="149"/>
      <c r="B176" s="64"/>
      <c r="C176" s="65"/>
      <c r="D176" s="53">
        <v>2212</v>
      </c>
      <c r="E176" s="88">
        <v>5169</v>
      </c>
      <c r="F176" s="18" t="s">
        <v>9</v>
      </c>
      <c r="G176" s="4">
        <v>0</v>
      </c>
      <c r="H176" s="4">
        <v>8.9845</v>
      </c>
      <c r="I176" s="4"/>
      <c r="J176" s="4">
        <f>H176+I176</f>
        <v>8.9845</v>
      </c>
    </row>
    <row r="177" spans="1:10" ht="12" customHeight="1">
      <c r="A177" s="149"/>
      <c r="B177" s="64"/>
      <c r="C177" s="96" t="s">
        <v>63</v>
      </c>
      <c r="D177" s="53">
        <v>2212</v>
      </c>
      <c r="E177" s="88">
        <v>5169</v>
      </c>
      <c r="F177" s="18" t="s">
        <v>9</v>
      </c>
      <c r="G177" s="4">
        <v>0</v>
      </c>
      <c r="H177" s="4">
        <f>50.9105+16.638+5.108</f>
        <v>72.65650000000001</v>
      </c>
      <c r="I177" s="4"/>
      <c r="J177" s="4">
        <f>H177+I177</f>
        <v>72.65650000000001</v>
      </c>
    </row>
    <row r="178" spans="1:10" ht="12" customHeight="1" thickBot="1">
      <c r="A178" s="149"/>
      <c r="B178" s="64"/>
      <c r="C178" s="65"/>
      <c r="D178" s="53">
        <v>2212</v>
      </c>
      <c r="E178" s="88">
        <v>5171</v>
      </c>
      <c r="F178" s="89" t="s">
        <v>66</v>
      </c>
      <c r="G178" s="4">
        <v>0</v>
      </c>
      <c r="H178" s="1">
        <f>516.653-23.958</f>
        <v>492.69500000000005</v>
      </c>
      <c r="I178" s="1"/>
      <c r="J178" s="4">
        <f>H178+I178</f>
        <v>492.69500000000005</v>
      </c>
    </row>
    <row r="179" spans="1:10" ht="12" customHeight="1">
      <c r="A179" s="149"/>
      <c r="B179" s="84" t="s">
        <v>2</v>
      </c>
      <c r="C179" s="56" t="s">
        <v>133</v>
      </c>
      <c r="D179" s="62" t="s">
        <v>0</v>
      </c>
      <c r="E179" s="62" t="s">
        <v>0</v>
      </c>
      <c r="F179" s="63" t="s">
        <v>134</v>
      </c>
      <c r="G179" s="39">
        <f>SUM(G180:G182)</f>
        <v>0</v>
      </c>
      <c r="H179" s="8">
        <f>SUM(H180:H182)</f>
        <v>268.187</v>
      </c>
      <c r="I179" s="39">
        <f>SUM(I180:I182)</f>
        <v>0</v>
      </c>
      <c r="J179" s="39">
        <f>SUM(J180:J182)</f>
        <v>268.187</v>
      </c>
    </row>
    <row r="180" spans="1:10" ht="12" customHeight="1">
      <c r="A180" s="149"/>
      <c r="B180" s="64"/>
      <c r="C180" s="65"/>
      <c r="D180" s="53">
        <v>2212</v>
      </c>
      <c r="E180" s="88">
        <v>5169</v>
      </c>
      <c r="F180" s="18" t="s">
        <v>9</v>
      </c>
      <c r="G180" s="4">
        <v>0</v>
      </c>
      <c r="H180" s="4">
        <v>9.892</v>
      </c>
      <c r="I180" s="4"/>
      <c r="J180" s="4">
        <f>H180+I180</f>
        <v>9.892</v>
      </c>
    </row>
    <row r="181" spans="1:10" ht="12" customHeight="1">
      <c r="A181" s="149"/>
      <c r="B181" s="64"/>
      <c r="C181" s="117" t="s">
        <v>63</v>
      </c>
      <c r="D181" s="53">
        <v>2212</v>
      </c>
      <c r="E181" s="88">
        <v>5169</v>
      </c>
      <c r="F181" s="18" t="s">
        <v>9</v>
      </c>
      <c r="G181" s="5">
        <v>0</v>
      </c>
      <c r="H181" s="4">
        <f>56.053+16.637+5.107</f>
        <v>77.797</v>
      </c>
      <c r="I181" s="4"/>
      <c r="J181" s="4">
        <f>H181+I181</f>
        <v>77.797</v>
      </c>
    </row>
    <row r="182" spans="1:10" ht="12" customHeight="1" thickBot="1">
      <c r="A182" s="149"/>
      <c r="B182" s="64"/>
      <c r="C182" s="65"/>
      <c r="D182" s="53">
        <v>2212</v>
      </c>
      <c r="E182" s="88">
        <v>5171</v>
      </c>
      <c r="F182" s="89" t="s">
        <v>66</v>
      </c>
      <c r="G182" s="4">
        <v>0</v>
      </c>
      <c r="H182" s="9">
        <f>180.74-0.242</f>
        <v>180.49800000000002</v>
      </c>
      <c r="I182" s="1"/>
      <c r="J182" s="4">
        <f>H182+I182</f>
        <v>180.49800000000002</v>
      </c>
    </row>
    <row r="183" spans="1:10" ht="12" customHeight="1">
      <c r="A183" s="149"/>
      <c r="B183" s="84" t="s">
        <v>2</v>
      </c>
      <c r="C183" s="56" t="s">
        <v>135</v>
      </c>
      <c r="D183" s="62" t="s">
        <v>0</v>
      </c>
      <c r="E183" s="62" t="s">
        <v>0</v>
      </c>
      <c r="F183" s="63" t="s">
        <v>136</v>
      </c>
      <c r="G183" s="39">
        <f>SUM(G184:G186)</f>
        <v>0</v>
      </c>
      <c r="H183" s="8">
        <f>SUM(H184:H186)</f>
        <v>768.691</v>
      </c>
      <c r="I183" s="39">
        <f>SUM(I184:I186)</f>
        <v>0</v>
      </c>
      <c r="J183" s="39">
        <f>SUM(J184:J186)</f>
        <v>768.691</v>
      </c>
    </row>
    <row r="184" spans="1:10" ht="12" customHeight="1">
      <c r="A184" s="149"/>
      <c r="B184" s="64"/>
      <c r="C184" s="65"/>
      <c r="D184" s="53">
        <v>2212</v>
      </c>
      <c r="E184" s="88">
        <v>5169</v>
      </c>
      <c r="F184" s="18" t="s">
        <v>9</v>
      </c>
      <c r="G184" s="4">
        <v>0</v>
      </c>
      <c r="H184" s="4">
        <v>8.9845</v>
      </c>
      <c r="I184" s="4"/>
      <c r="J184" s="4">
        <f>H184+I184</f>
        <v>8.9845</v>
      </c>
    </row>
    <row r="185" spans="1:10" ht="12" customHeight="1">
      <c r="A185" s="149"/>
      <c r="B185" s="115"/>
      <c r="C185" s="96" t="s">
        <v>63</v>
      </c>
      <c r="D185" s="53">
        <v>2212</v>
      </c>
      <c r="E185" s="88">
        <v>5169</v>
      </c>
      <c r="F185" s="18" t="s">
        <v>9</v>
      </c>
      <c r="G185" s="4">
        <v>0</v>
      </c>
      <c r="H185" s="4">
        <f>50.9105+15.73+16.94</f>
        <v>83.5805</v>
      </c>
      <c r="I185" s="4"/>
      <c r="J185" s="4">
        <f>H185+I185</f>
        <v>83.5805</v>
      </c>
    </row>
    <row r="186" spans="1:10" ht="12" customHeight="1" thickBot="1">
      <c r="A186" s="149"/>
      <c r="B186" s="118"/>
      <c r="C186" s="92" t="s">
        <v>63</v>
      </c>
      <c r="D186" s="52">
        <v>2212</v>
      </c>
      <c r="E186" s="93">
        <v>5171</v>
      </c>
      <c r="F186" s="94" t="s">
        <v>66</v>
      </c>
      <c r="G186" s="2">
        <v>0</v>
      </c>
      <c r="H186" s="1">
        <v>676.126</v>
      </c>
      <c r="I186" s="1"/>
      <c r="J186" s="2">
        <f>H186+I186</f>
        <v>676.126</v>
      </c>
    </row>
    <row r="187" spans="1:10" ht="12" customHeight="1">
      <c r="A187" s="149"/>
      <c r="B187" s="84" t="s">
        <v>2</v>
      </c>
      <c r="C187" s="56" t="s">
        <v>137</v>
      </c>
      <c r="D187" s="62" t="s">
        <v>0</v>
      </c>
      <c r="E187" s="62" t="s">
        <v>0</v>
      </c>
      <c r="F187" s="63" t="s">
        <v>138</v>
      </c>
      <c r="G187" s="39">
        <f>SUM(G188:G190)</f>
        <v>0</v>
      </c>
      <c r="H187" s="8">
        <f>SUM(H188:H190)</f>
        <v>1076.7060000000001</v>
      </c>
      <c r="I187" s="141">
        <f>SUM(I188:I190)</f>
        <v>-842.472</v>
      </c>
      <c r="J187" s="39">
        <f>SUM(J188:J190)</f>
        <v>234.23400000000004</v>
      </c>
    </row>
    <row r="188" spans="1:10" ht="12" customHeight="1">
      <c r="A188" s="149"/>
      <c r="B188" s="64"/>
      <c r="C188" s="65"/>
      <c r="D188" s="53">
        <v>2212</v>
      </c>
      <c r="E188" s="88">
        <v>5169</v>
      </c>
      <c r="F188" s="18" t="s">
        <v>9</v>
      </c>
      <c r="G188" s="4">
        <v>0</v>
      </c>
      <c r="H188" s="4">
        <v>8.9845</v>
      </c>
      <c r="I188" s="144"/>
      <c r="J188" s="4">
        <f>H188+I188</f>
        <v>8.9845</v>
      </c>
    </row>
    <row r="189" spans="1:10" ht="12" customHeight="1">
      <c r="A189" s="149"/>
      <c r="B189" s="64"/>
      <c r="C189" s="96" t="s">
        <v>63</v>
      </c>
      <c r="D189" s="53">
        <v>2212</v>
      </c>
      <c r="E189" s="88">
        <v>5169</v>
      </c>
      <c r="F189" s="18" t="s">
        <v>9</v>
      </c>
      <c r="G189" s="4">
        <v>0</v>
      </c>
      <c r="H189" s="4">
        <f>50.9105+36.905+12.1</f>
        <v>99.9155</v>
      </c>
      <c r="I189" s="144"/>
      <c r="J189" s="4">
        <f>H189+I189</f>
        <v>99.9155</v>
      </c>
    </row>
    <row r="190" spans="1:10" ht="12" customHeight="1" thickBot="1">
      <c r="A190" s="149"/>
      <c r="B190" s="91"/>
      <c r="C190" s="92" t="s">
        <v>63</v>
      </c>
      <c r="D190" s="43">
        <v>2212</v>
      </c>
      <c r="E190" s="105">
        <v>5171</v>
      </c>
      <c r="F190" s="58" t="s">
        <v>66</v>
      </c>
      <c r="G190" s="2">
        <v>0</v>
      </c>
      <c r="H190" s="1">
        <v>967.806</v>
      </c>
      <c r="I190" s="143">
        <f>-967.806+125.334</f>
        <v>-842.472</v>
      </c>
      <c r="J190" s="1">
        <f>H190+I190</f>
        <v>125.33400000000006</v>
      </c>
    </row>
    <row r="191" spans="1:10" ht="12" customHeight="1">
      <c r="A191" s="149"/>
      <c r="B191" s="84" t="s">
        <v>2</v>
      </c>
      <c r="C191" s="56" t="s">
        <v>139</v>
      </c>
      <c r="D191" s="62" t="s">
        <v>0</v>
      </c>
      <c r="E191" s="62" t="s">
        <v>0</v>
      </c>
      <c r="F191" s="63" t="s">
        <v>140</v>
      </c>
      <c r="G191" s="39">
        <f>SUM(G192:G194)</f>
        <v>0</v>
      </c>
      <c r="H191" s="8">
        <f>SUM(H192:H194)</f>
        <v>329.06850000000003</v>
      </c>
      <c r="I191" s="39">
        <f>SUM(I192:I194)</f>
        <v>0</v>
      </c>
      <c r="J191" s="39">
        <f>SUM(J192:J194)</f>
        <v>329.06850000000003</v>
      </c>
    </row>
    <row r="192" spans="1:10" ht="12" customHeight="1">
      <c r="A192" s="149"/>
      <c r="B192" s="64"/>
      <c r="C192" s="65"/>
      <c r="D192" s="53">
        <v>2212</v>
      </c>
      <c r="E192" s="88">
        <v>5169</v>
      </c>
      <c r="F192" s="18" t="s">
        <v>9</v>
      </c>
      <c r="G192" s="4">
        <v>0</v>
      </c>
      <c r="H192" s="10">
        <v>4.22</v>
      </c>
      <c r="I192" s="4"/>
      <c r="J192" s="4">
        <f>H192+I192</f>
        <v>4.22</v>
      </c>
    </row>
    <row r="193" spans="1:10" ht="12" customHeight="1">
      <c r="A193" s="149"/>
      <c r="B193" s="64"/>
      <c r="C193" s="117" t="s">
        <v>63</v>
      </c>
      <c r="D193" s="53">
        <v>2212</v>
      </c>
      <c r="E193" s="88">
        <v>5169</v>
      </c>
      <c r="F193" s="18" t="s">
        <v>9</v>
      </c>
      <c r="G193" s="5">
        <v>0</v>
      </c>
      <c r="H193" s="4">
        <f>23.9125+12.281+10.122</f>
        <v>46.3155</v>
      </c>
      <c r="I193" s="4"/>
      <c r="J193" s="4">
        <f>H193+I193</f>
        <v>46.3155</v>
      </c>
    </row>
    <row r="194" spans="1:10" ht="12" customHeight="1" thickBot="1">
      <c r="A194" s="149"/>
      <c r="B194" s="103"/>
      <c r="C194" s="104" t="s">
        <v>63</v>
      </c>
      <c r="D194" s="43">
        <v>2212</v>
      </c>
      <c r="E194" s="105">
        <v>5171</v>
      </c>
      <c r="F194" s="58" t="s">
        <v>66</v>
      </c>
      <c r="G194" s="1">
        <v>0</v>
      </c>
      <c r="H194" s="1">
        <v>278.533</v>
      </c>
      <c r="I194" s="1"/>
      <c r="J194" s="1">
        <f>H194+I194</f>
        <v>278.533</v>
      </c>
    </row>
    <row r="195" spans="1:10" ht="12" customHeight="1">
      <c r="A195" s="149"/>
      <c r="B195" s="84" t="s">
        <v>2</v>
      </c>
      <c r="C195" s="56" t="s">
        <v>141</v>
      </c>
      <c r="D195" s="62" t="s">
        <v>0</v>
      </c>
      <c r="E195" s="62" t="s">
        <v>0</v>
      </c>
      <c r="F195" s="63" t="s">
        <v>142</v>
      </c>
      <c r="G195" s="39">
        <f>SUM(G196:G198)</f>
        <v>0</v>
      </c>
      <c r="H195" s="8">
        <f>SUM(H196:H198)</f>
        <v>358.3155</v>
      </c>
      <c r="I195" s="39">
        <f>SUM(I196:I198)</f>
        <v>0</v>
      </c>
      <c r="J195" s="39">
        <f>SUM(J196:J198)</f>
        <v>358.3155</v>
      </c>
    </row>
    <row r="196" spans="1:10" ht="12" customHeight="1">
      <c r="A196" s="149"/>
      <c r="B196" s="64"/>
      <c r="C196" s="65"/>
      <c r="D196" s="53">
        <v>2212</v>
      </c>
      <c r="E196" s="88">
        <v>5169</v>
      </c>
      <c r="F196" s="18" t="s">
        <v>9</v>
      </c>
      <c r="G196" s="4">
        <v>0</v>
      </c>
      <c r="H196" s="10">
        <v>4.22</v>
      </c>
      <c r="I196" s="4"/>
      <c r="J196" s="4">
        <f>H196+I196</f>
        <v>4.22</v>
      </c>
    </row>
    <row r="197" spans="1:10" ht="12" customHeight="1">
      <c r="A197" s="149"/>
      <c r="B197" s="64"/>
      <c r="C197" s="96" t="s">
        <v>63</v>
      </c>
      <c r="D197" s="53">
        <v>2212</v>
      </c>
      <c r="E197" s="88">
        <v>5169</v>
      </c>
      <c r="F197" s="18" t="s">
        <v>9</v>
      </c>
      <c r="G197" s="4">
        <v>0</v>
      </c>
      <c r="H197" s="4">
        <f>23.9125+12.282+10.122</f>
        <v>46.316500000000005</v>
      </c>
      <c r="I197" s="4"/>
      <c r="J197" s="4">
        <f>H197+I197</f>
        <v>46.316500000000005</v>
      </c>
    </row>
    <row r="198" spans="1:10" ht="12" customHeight="1" thickBot="1">
      <c r="A198" s="149"/>
      <c r="B198" s="91"/>
      <c r="C198" s="92" t="s">
        <v>63</v>
      </c>
      <c r="D198" s="52">
        <v>2212</v>
      </c>
      <c r="E198" s="93">
        <v>5171</v>
      </c>
      <c r="F198" s="94" t="s">
        <v>66</v>
      </c>
      <c r="G198" s="2">
        <v>0</v>
      </c>
      <c r="H198" s="1">
        <v>307.779</v>
      </c>
      <c r="I198" s="1"/>
      <c r="J198" s="2">
        <f>H198+I198</f>
        <v>307.779</v>
      </c>
    </row>
    <row r="199" spans="1:10" ht="12" customHeight="1">
      <c r="A199" s="149"/>
      <c r="B199" s="84" t="s">
        <v>2</v>
      </c>
      <c r="C199" s="56" t="s">
        <v>143</v>
      </c>
      <c r="D199" s="62" t="s">
        <v>0</v>
      </c>
      <c r="E199" s="62" t="s">
        <v>0</v>
      </c>
      <c r="F199" s="63" t="s">
        <v>144</v>
      </c>
      <c r="G199" s="39">
        <f>SUM(G200:G202)</f>
        <v>0</v>
      </c>
      <c r="H199" s="8">
        <f>SUM(H200:H202)</f>
        <v>657.1355</v>
      </c>
      <c r="I199" s="39">
        <f>SUM(I200:I202)</f>
        <v>0</v>
      </c>
      <c r="J199" s="39">
        <f>SUM(J200:J202)</f>
        <v>657.1355</v>
      </c>
    </row>
    <row r="200" spans="1:10" ht="12" customHeight="1">
      <c r="A200" s="149"/>
      <c r="B200" s="64"/>
      <c r="C200" s="65"/>
      <c r="D200" s="53">
        <v>2212</v>
      </c>
      <c r="E200" s="88">
        <v>5169</v>
      </c>
      <c r="F200" s="18" t="s">
        <v>9</v>
      </c>
      <c r="G200" s="4">
        <v>0</v>
      </c>
      <c r="H200" s="10">
        <v>4.22</v>
      </c>
      <c r="I200" s="4"/>
      <c r="J200" s="4">
        <f>H200+I200</f>
        <v>4.22</v>
      </c>
    </row>
    <row r="201" spans="1:10" ht="12" customHeight="1">
      <c r="A201" s="149"/>
      <c r="B201" s="115"/>
      <c r="C201" s="96" t="s">
        <v>63</v>
      </c>
      <c r="D201" s="53">
        <v>2212</v>
      </c>
      <c r="E201" s="88">
        <v>5169</v>
      </c>
      <c r="F201" s="18" t="s">
        <v>9</v>
      </c>
      <c r="G201" s="4">
        <v>0</v>
      </c>
      <c r="H201" s="4">
        <f>23.9125+19.602+13.915</f>
        <v>57.4295</v>
      </c>
      <c r="I201" s="4"/>
      <c r="J201" s="4">
        <f>H201+I201</f>
        <v>57.4295</v>
      </c>
    </row>
    <row r="202" spans="1:10" ht="12" customHeight="1" thickBot="1">
      <c r="A202" s="149"/>
      <c r="B202" s="118"/>
      <c r="C202" s="92" t="s">
        <v>63</v>
      </c>
      <c r="D202" s="52">
        <v>2212</v>
      </c>
      <c r="E202" s="93">
        <v>5171</v>
      </c>
      <c r="F202" s="94" t="s">
        <v>66</v>
      </c>
      <c r="G202" s="2">
        <v>0</v>
      </c>
      <c r="H202" s="1">
        <v>595.486</v>
      </c>
      <c r="I202" s="1"/>
      <c r="J202" s="2">
        <f>H202+I202</f>
        <v>595.486</v>
      </c>
    </row>
    <row r="203" spans="1:10" ht="12" customHeight="1">
      <c r="A203" s="149"/>
      <c r="B203" s="84" t="s">
        <v>2</v>
      </c>
      <c r="C203" s="56" t="s">
        <v>145</v>
      </c>
      <c r="D203" s="62" t="s">
        <v>0</v>
      </c>
      <c r="E203" s="62" t="s">
        <v>0</v>
      </c>
      <c r="F203" s="63" t="s">
        <v>146</v>
      </c>
      <c r="G203" s="39">
        <f>SUM(G204:G206)</f>
        <v>0</v>
      </c>
      <c r="H203" s="8">
        <f>SUM(H204:H206)</f>
        <v>3586.5415000000003</v>
      </c>
      <c r="I203" s="39">
        <f>SUM(I204:I206)</f>
        <v>0</v>
      </c>
      <c r="J203" s="39">
        <f>SUM(J204:J206)</f>
        <v>3586.5415000000003</v>
      </c>
    </row>
    <row r="204" spans="1:10" ht="12" customHeight="1">
      <c r="A204" s="149"/>
      <c r="B204" s="64"/>
      <c r="C204" s="65"/>
      <c r="D204" s="53">
        <v>2212</v>
      </c>
      <c r="E204" s="88">
        <v>5169</v>
      </c>
      <c r="F204" s="18" t="s">
        <v>9</v>
      </c>
      <c r="G204" s="4">
        <v>0</v>
      </c>
      <c r="H204" s="4">
        <v>5.1275</v>
      </c>
      <c r="I204" s="4"/>
      <c r="J204" s="4">
        <f>H204+I204</f>
        <v>5.1275</v>
      </c>
    </row>
    <row r="205" spans="1:10" ht="12" customHeight="1">
      <c r="A205" s="149"/>
      <c r="B205" s="64"/>
      <c r="C205" s="96" t="s">
        <v>63</v>
      </c>
      <c r="D205" s="53">
        <v>2212</v>
      </c>
      <c r="E205" s="88">
        <v>5169</v>
      </c>
      <c r="F205" s="18" t="s">
        <v>9</v>
      </c>
      <c r="G205" s="4">
        <v>0</v>
      </c>
      <c r="H205" s="4">
        <f>29.055+59.29+41.14</f>
        <v>129.485</v>
      </c>
      <c r="I205" s="4"/>
      <c r="J205" s="4">
        <f>H205+I205</f>
        <v>129.485</v>
      </c>
    </row>
    <row r="206" spans="1:10" ht="12" customHeight="1" thickBot="1">
      <c r="A206" s="149"/>
      <c r="B206" s="103"/>
      <c r="C206" s="104" t="s">
        <v>63</v>
      </c>
      <c r="D206" s="43">
        <v>2212</v>
      </c>
      <c r="E206" s="105">
        <v>5171</v>
      </c>
      <c r="F206" s="58" t="s">
        <v>66</v>
      </c>
      <c r="G206" s="1">
        <v>0</v>
      </c>
      <c r="H206" s="1">
        <v>3451.929</v>
      </c>
      <c r="I206" s="1"/>
      <c r="J206" s="1">
        <f>H206+I206</f>
        <v>3451.929</v>
      </c>
    </row>
    <row r="207" spans="1:10" ht="12" customHeight="1">
      <c r="A207" s="149"/>
      <c r="B207" s="84" t="s">
        <v>2</v>
      </c>
      <c r="C207" s="56" t="s">
        <v>147</v>
      </c>
      <c r="D207" s="62" t="s">
        <v>0</v>
      </c>
      <c r="E207" s="62" t="s">
        <v>0</v>
      </c>
      <c r="F207" s="63" t="s">
        <v>148</v>
      </c>
      <c r="G207" s="39">
        <f>SUM(G208:G210)</f>
        <v>0</v>
      </c>
      <c r="H207" s="8">
        <f>SUM(H208:H210)</f>
        <v>1397.9925</v>
      </c>
      <c r="I207" s="39">
        <f>SUM(I208:I210)</f>
        <v>0</v>
      </c>
      <c r="J207" s="39">
        <f>SUM(J208:J210)</f>
        <v>1397.9925</v>
      </c>
    </row>
    <row r="208" spans="1:10" ht="12" customHeight="1">
      <c r="A208" s="149"/>
      <c r="B208" s="64"/>
      <c r="C208" s="65"/>
      <c r="D208" s="53">
        <v>2212</v>
      </c>
      <c r="E208" s="88">
        <v>5169</v>
      </c>
      <c r="F208" s="18" t="s">
        <v>9</v>
      </c>
      <c r="G208" s="4">
        <v>0</v>
      </c>
      <c r="H208" s="10">
        <v>4.22</v>
      </c>
      <c r="I208" s="4"/>
      <c r="J208" s="4">
        <f>H208+I208</f>
        <v>4.22</v>
      </c>
    </row>
    <row r="209" spans="1:10" ht="12" customHeight="1">
      <c r="A209" s="149"/>
      <c r="B209" s="64"/>
      <c r="C209" s="96" t="s">
        <v>63</v>
      </c>
      <c r="D209" s="53">
        <v>2212</v>
      </c>
      <c r="E209" s="88">
        <v>5169</v>
      </c>
      <c r="F209" s="18" t="s">
        <v>9</v>
      </c>
      <c r="G209" s="4">
        <v>0</v>
      </c>
      <c r="H209" s="4">
        <f>23.9125+19.602+13.915</f>
        <v>57.4295</v>
      </c>
      <c r="I209" s="4"/>
      <c r="J209" s="4">
        <f>H209+I209</f>
        <v>57.4295</v>
      </c>
    </row>
    <row r="210" spans="1:10" ht="12" customHeight="1" thickBot="1">
      <c r="A210" s="149"/>
      <c r="B210" s="91"/>
      <c r="C210" s="92" t="s">
        <v>63</v>
      </c>
      <c r="D210" s="52">
        <v>2212</v>
      </c>
      <c r="E210" s="93">
        <v>5171</v>
      </c>
      <c r="F210" s="94" t="s">
        <v>66</v>
      </c>
      <c r="G210" s="2">
        <v>0</v>
      </c>
      <c r="H210" s="1">
        <v>1336.343</v>
      </c>
      <c r="I210" s="1"/>
      <c r="J210" s="2">
        <f>H210+I210</f>
        <v>1336.343</v>
      </c>
    </row>
    <row r="211" spans="1:10" ht="12" customHeight="1">
      <c r="A211" s="149"/>
      <c r="B211" s="84" t="s">
        <v>2</v>
      </c>
      <c r="C211" s="56" t="s">
        <v>149</v>
      </c>
      <c r="D211" s="62" t="s">
        <v>0</v>
      </c>
      <c r="E211" s="62" t="s">
        <v>0</v>
      </c>
      <c r="F211" s="63" t="s">
        <v>150</v>
      </c>
      <c r="G211" s="39">
        <f>SUM(G212:G214)</f>
        <v>0</v>
      </c>
      <c r="H211" s="8">
        <f>SUM(H212:H214)</f>
        <v>2277.9485</v>
      </c>
      <c r="I211" s="39">
        <f>SUM(I212:I214)</f>
        <v>0</v>
      </c>
      <c r="J211" s="39">
        <f>SUM(J212:J214)</f>
        <v>2277.9485</v>
      </c>
    </row>
    <row r="212" spans="1:10" ht="12" customHeight="1">
      <c r="A212" s="149"/>
      <c r="B212" s="64"/>
      <c r="C212" s="65"/>
      <c r="D212" s="53">
        <v>2212</v>
      </c>
      <c r="E212" s="88">
        <v>5169</v>
      </c>
      <c r="F212" s="18" t="s">
        <v>9</v>
      </c>
      <c r="G212" s="4">
        <v>0</v>
      </c>
      <c r="H212" s="10">
        <v>4.22</v>
      </c>
      <c r="I212" s="4"/>
      <c r="J212" s="4">
        <f>H212+I212</f>
        <v>4.22</v>
      </c>
    </row>
    <row r="213" spans="1:10" ht="12" customHeight="1">
      <c r="A213" s="149"/>
      <c r="B213" s="64"/>
      <c r="C213" s="96" t="s">
        <v>63</v>
      </c>
      <c r="D213" s="53">
        <v>2212</v>
      </c>
      <c r="E213" s="88">
        <v>5169</v>
      </c>
      <c r="F213" s="18" t="s">
        <v>9</v>
      </c>
      <c r="G213" s="4">
        <v>0</v>
      </c>
      <c r="H213" s="4">
        <f>23.9125+19.602+13.915</f>
        <v>57.4295</v>
      </c>
      <c r="I213" s="4"/>
      <c r="J213" s="4">
        <f>H213+I213</f>
        <v>57.4295</v>
      </c>
    </row>
    <row r="214" spans="1:10" ht="12" customHeight="1" thickBot="1">
      <c r="A214" s="149"/>
      <c r="B214" s="91"/>
      <c r="C214" s="92" t="s">
        <v>63</v>
      </c>
      <c r="D214" s="52">
        <v>2212</v>
      </c>
      <c r="E214" s="93">
        <v>5171</v>
      </c>
      <c r="F214" s="94" t="s">
        <v>66</v>
      </c>
      <c r="G214" s="2">
        <v>0</v>
      </c>
      <c r="H214" s="1">
        <v>2216.299</v>
      </c>
      <c r="I214" s="1"/>
      <c r="J214" s="2">
        <f>H214+I214</f>
        <v>2216.299</v>
      </c>
    </row>
    <row r="215" spans="1:10" ht="12" customHeight="1">
      <c r="A215" s="149"/>
      <c r="B215" s="84" t="s">
        <v>2</v>
      </c>
      <c r="C215" s="56" t="s">
        <v>151</v>
      </c>
      <c r="D215" s="62" t="s">
        <v>0</v>
      </c>
      <c r="E215" s="62" t="s">
        <v>0</v>
      </c>
      <c r="F215" s="63" t="s">
        <v>152</v>
      </c>
      <c r="G215" s="39">
        <f>SUM(G216:G218)</f>
        <v>0</v>
      </c>
      <c r="H215" s="8">
        <f>SUM(H216:H218)</f>
        <v>4782.6385</v>
      </c>
      <c r="I215" s="39">
        <f>SUM(I216:I218)</f>
        <v>0</v>
      </c>
      <c r="J215" s="39">
        <f>SUM(J216:J218)</f>
        <v>4782.6385</v>
      </c>
    </row>
    <row r="216" spans="1:10" ht="12" customHeight="1">
      <c r="A216" s="149"/>
      <c r="B216" s="64"/>
      <c r="C216" s="65"/>
      <c r="D216" s="53">
        <v>2212</v>
      </c>
      <c r="E216" s="88">
        <v>5169</v>
      </c>
      <c r="F216" s="18" t="s">
        <v>9</v>
      </c>
      <c r="G216" s="4">
        <v>0</v>
      </c>
      <c r="H216" s="10">
        <v>4.22</v>
      </c>
      <c r="I216" s="4"/>
      <c r="J216" s="4">
        <f>H216+I216</f>
        <v>4.22</v>
      </c>
    </row>
    <row r="217" spans="1:10" ht="12" customHeight="1">
      <c r="A217" s="149"/>
      <c r="B217" s="64"/>
      <c r="C217" s="117" t="s">
        <v>63</v>
      </c>
      <c r="D217" s="53">
        <v>2212</v>
      </c>
      <c r="E217" s="88">
        <v>5169</v>
      </c>
      <c r="F217" s="18" t="s">
        <v>9</v>
      </c>
      <c r="G217" s="5">
        <v>0</v>
      </c>
      <c r="H217" s="4">
        <f>23.9125+19.602+13.915</f>
        <v>57.4295</v>
      </c>
      <c r="I217" s="4"/>
      <c r="J217" s="4">
        <f>H217+I217</f>
        <v>57.4295</v>
      </c>
    </row>
    <row r="218" spans="1:10" ht="12" customHeight="1" thickBot="1">
      <c r="A218" s="149"/>
      <c r="B218" s="91"/>
      <c r="C218" s="92" t="s">
        <v>63</v>
      </c>
      <c r="D218" s="52">
        <v>2212</v>
      </c>
      <c r="E218" s="93">
        <v>5171</v>
      </c>
      <c r="F218" s="94" t="s">
        <v>66</v>
      </c>
      <c r="G218" s="2">
        <v>0</v>
      </c>
      <c r="H218" s="1">
        <v>4720.989</v>
      </c>
      <c r="I218" s="1"/>
      <c r="J218" s="2">
        <f>H218+I218</f>
        <v>4720.989</v>
      </c>
    </row>
    <row r="219" spans="1:10" ht="12" customHeight="1">
      <c r="A219" s="149"/>
      <c r="B219" s="84" t="s">
        <v>2</v>
      </c>
      <c r="C219" s="56" t="s">
        <v>153</v>
      </c>
      <c r="D219" s="62" t="s">
        <v>0</v>
      </c>
      <c r="E219" s="62" t="s">
        <v>0</v>
      </c>
      <c r="F219" s="63" t="s">
        <v>154</v>
      </c>
      <c r="G219" s="39">
        <f>SUM(G220:G221)</f>
        <v>0</v>
      </c>
      <c r="H219" s="8">
        <f>SUM(H220:H221)</f>
        <v>28.1325</v>
      </c>
      <c r="I219" s="39">
        <f>SUM(I220:I221)</f>
        <v>0</v>
      </c>
      <c r="J219" s="39">
        <f>SUM(J220:J221)</f>
        <v>28.1325</v>
      </c>
    </row>
    <row r="220" spans="1:10" ht="12" customHeight="1">
      <c r="A220" s="149"/>
      <c r="B220" s="64"/>
      <c r="C220" s="65"/>
      <c r="D220" s="53">
        <v>2212</v>
      </c>
      <c r="E220" s="88">
        <v>5169</v>
      </c>
      <c r="F220" s="18" t="s">
        <v>9</v>
      </c>
      <c r="G220" s="4">
        <v>0</v>
      </c>
      <c r="H220" s="10">
        <v>4.22</v>
      </c>
      <c r="I220" s="4"/>
      <c r="J220" s="4">
        <f>H220+I220</f>
        <v>4.22</v>
      </c>
    </row>
    <row r="221" spans="1:10" ht="12" customHeight="1" thickBot="1">
      <c r="A221" s="149"/>
      <c r="B221" s="74"/>
      <c r="C221" s="110" t="s">
        <v>63</v>
      </c>
      <c r="D221" s="53">
        <v>2212</v>
      </c>
      <c r="E221" s="88">
        <v>5169</v>
      </c>
      <c r="F221" s="18" t="s">
        <v>9</v>
      </c>
      <c r="G221" s="3">
        <v>0</v>
      </c>
      <c r="H221" s="1">
        <v>23.9125</v>
      </c>
      <c r="I221" s="1"/>
      <c r="J221" s="4">
        <f>H221+I221</f>
        <v>23.9125</v>
      </c>
    </row>
    <row r="222" spans="1:10" ht="12" customHeight="1">
      <c r="A222" s="149"/>
      <c r="B222" s="84" t="s">
        <v>2</v>
      </c>
      <c r="C222" s="56" t="s">
        <v>155</v>
      </c>
      <c r="D222" s="62" t="s">
        <v>0</v>
      </c>
      <c r="E222" s="62" t="s">
        <v>0</v>
      </c>
      <c r="F222" s="63" t="s">
        <v>156</v>
      </c>
      <c r="G222" s="39">
        <f>SUM(G223:G225)</f>
        <v>0</v>
      </c>
      <c r="H222" s="8">
        <f>SUM(H223:H225)</f>
        <v>2292.4615000000003</v>
      </c>
      <c r="I222" s="39">
        <f>SUM(I223:I225)</f>
        <v>0</v>
      </c>
      <c r="J222" s="39">
        <f>SUM(J223:J225)</f>
        <v>2292.4615000000003</v>
      </c>
    </row>
    <row r="223" spans="1:10" ht="12" customHeight="1">
      <c r="A223" s="149"/>
      <c r="B223" s="64"/>
      <c r="C223" s="65"/>
      <c r="D223" s="53">
        <v>2212</v>
      </c>
      <c r="E223" s="88">
        <v>5169</v>
      </c>
      <c r="F223" s="18" t="s">
        <v>9</v>
      </c>
      <c r="G223" s="4">
        <v>0</v>
      </c>
      <c r="H223" s="10">
        <v>4.22</v>
      </c>
      <c r="I223" s="4"/>
      <c r="J223" s="4">
        <f>H223+I223</f>
        <v>4.22</v>
      </c>
    </row>
    <row r="224" spans="1:10" ht="12" customHeight="1">
      <c r="A224" s="149"/>
      <c r="B224" s="64"/>
      <c r="C224" s="96" t="s">
        <v>63</v>
      </c>
      <c r="D224" s="53">
        <v>2212</v>
      </c>
      <c r="E224" s="88">
        <v>5169</v>
      </c>
      <c r="F224" s="18" t="s">
        <v>9</v>
      </c>
      <c r="G224" s="4">
        <v>0</v>
      </c>
      <c r="H224" s="4">
        <f>23.9125+12.281+10.121</f>
        <v>46.3145</v>
      </c>
      <c r="I224" s="4"/>
      <c r="J224" s="4">
        <f>H224+I224</f>
        <v>46.3145</v>
      </c>
    </row>
    <row r="225" spans="1:10" ht="12" customHeight="1" thickBot="1">
      <c r="A225" s="149"/>
      <c r="B225" s="91"/>
      <c r="C225" s="92" t="s">
        <v>63</v>
      </c>
      <c r="D225" s="52">
        <v>2212</v>
      </c>
      <c r="E225" s="93">
        <v>5171</v>
      </c>
      <c r="F225" s="94" t="s">
        <v>66</v>
      </c>
      <c r="G225" s="2">
        <v>0</v>
      </c>
      <c r="H225" s="1">
        <v>2241.927</v>
      </c>
      <c r="I225" s="1"/>
      <c r="J225" s="2">
        <f>H225+I225</f>
        <v>2241.927</v>
      </c>
    </row>
    <row r="226" spans="1:10" ht="12" customHeight="1">
      <c r="A226" s="149"/>
      <c r="B226" s="84" t="s">
        <v>2</v>
      </c>
      <c r="C226" s="56" t="s">
        <v>157</v>
      </c>
      <c r="D226" s="62" t="s">
        <v>0</v>
      </c>
      <c r="E226" s="62" t="s">
        <v>0</v>
      </c>
      <c r="F226" s="63" t="s">
        <v>158</v>
      </c>
      <c r="G226" s="39">
        <f>SUM(G227:G229)</f>
        <v>0</v>
      </c>
      <c r="H226" s="8">
        <f>SUM(H227:H229)</f>
        <v>4477.6365000000005</v>
      </c>
      <c r="I226" s="39">
        <f>SUM(I227:I229)</f>
        <v>0</v>
      </c>
      <c r="J226" s="39">
        <f>SUM(J227:J229)</f>
        <v>4477.6365000000005</v>
      </c>
    </row>
    <row r="227" spans="1:10" ht="12" customHeight="1">
      <c r="A227" s="149"/>
      <c r="B227" s="64"/>
      <c r="C227" s="65"/>
      <c r="D227" s="53">
        <v>2212</v>
      </c>
      <c r="E227" s="88">
        <v>5169</v>
      </c>
      <c r="F227" s="18" t="s">
        <v>9</v>
      </c>
      <c r="G227" s="4">
        <v>0</v>
      </c>
      <c r="H227" s="10">
        <v>4.22</v>
      </c>
      <c r="I227" s="4"/>
      <c r="J227" s="4">
        <f>H227+I227</f>
        <v>4.22</v>
      </c>
    </row>
    <row r="228" spans="1:10" ht="12" customHeight="1">
      <c r="A228" s="149"/>
      <c r="B228" s="64"/>
      <c r="C228" s="96" t="s">
        <v>63</v>
      </c>
      <c r="D228" s="53">
        <v>2212</v>
      </c>
      <c r="E228" s="88">
        <v>5169</v>
      </c>
      <c r="F228" s="18" t="s">
        <v>9</v>
      </c>
      <c r="G228" s="4">
        <v>0</v>
      </c>
      <c r="H228" s="4">
        <f>23.9125+12.282+10.122</f>
        <v>46.316500000000005</v>
      </c>
      <c r="I228" s="4"/>
      <c r="J228" s="4">
        <f>H228+I228</f>
        <v>46.316500000000005</v>
      </c>
    </row>
    <row r="229" spans="1:10" ht="12" customHeight="1" thickBot="1">
      <c r="A229" s="149"/>
      <c r="B229" s="91"/>
      <c r="C229" s="92" t="s">
        <v>63</v>
      </c>
      <c r="D229" s="52">
        <v>2212</v>
      </c>
      <c r="E229" s="93">
        <v>5171</v>
      </c>
      <c r="F229" s="94" t="s">
        <v>66</v>
      </c>
      <c r="G229" s="2">
        <v>0</v>
      </c>
      <c r="H229" s="9">
        <v>4427.1</v>
      </c>
      <c r="I229" s="1"/>
      <c r="J229" s="2">
        <f>H229+I229</f>
        <v>4427.1</v>
      </c>
    </row>
    <row r="230" spans="1:10" ht="12" customHeight="1">
      <c r="A230" s="149"/>
      <c r="B230" s="84" t="s">
        <v>2</v>
      </c>
      <c r="C230" s="56" t="s">
        <v>159</v>
      </c>
      <c r="D230" s="62" t="s">
        <v>0</v>
      </c>
      <c r="E230" s="62" t="s">
        <v>0</v>
      </c>
      <c r="F230" s="63" t="s">
        <v>160</v>
      </c>
      <c r="G230" s="39">
        <f>SUM(G231:G233)</f>
        <v>0</v>
      </c>
      <c r="H230" s="39">
        <f>SUM(H231:H233)</f>
        <v>1455.4835</v>
      </c>
      <c r="I230" s="141">
        <f>SUM(I231:I233)</f>
        <v>8.065999999999999</v>
      </c>
      <c r="J230" s="39">
        <f>SUM(J231:J233)</f>
        <v>1463.5495</v>
      </c>
    </row>
    <row r="231" spans="1:10" ht="12" customHeight="1">
      <c r="A231" s="149"/>
      <c r="B231" s="64"/>
      <c r="C231" s="65"/>
      <c r="D231" s="53">
        <v>2212</v>
      </c>
      <c r="E231" s="88">
        <v>5169</v>
      </c>
      <c r="F231" s="18" t="s">
        <v>9</v>
      </c>
      <c r="G231" s="4">
        <v>0</v>
      </c>
      <c r="H231" s="10">
        <v>4.22</v>
      </c>
      <c r="I231" s="144"/>
      <c r="J231" s="4">
        <f>H231+I231</f>
        <v>4.22</v>
      </c>
    </row>
    <row r="232" spans="1:10" ht="12" customHeight="1">
      <c r="A232" s="149"/>
      <c r="B232" s="64"/>
      <c r="C232" s="96" t="s">
        <v>63</v>
      </c>
      <c r="D232" s="53">
        <v>2212</v>
      </c>
      <c r="E232" s="88">
        <v>5169</v>
      </c>
      <c r="F232" s="18" t="s">
        <v>9</v>
      </c>
      <c r="G232" s="4">
        <v>0</v>
      </c>
      <c r="H232" s="4">
        <f>23.9125+14.823+9.378</f>
        <v>48.1135</v>
      </c>
      <c r="I232" s="144">
        <f>4.941+3.125</f>
        <v>8.065999999999999</v>
      </c>
      <c r="J232" s="4">
        <f>H232+I232</f>
        <v>56.179500000000004</v>
      </c>
    </row>
    <row r="233" spans="1:10" ht="12" customHeight="1" thickBot="1">
      <c r="A233" s="149"/>
      <c r="B233" s="116"/>
      <c r="C233" s="92" t="s">
        <v>63</v>
      </c>
      <c r="D233" s="52">
        <v>2212</v>
      </c>
      <c r="E233" s="93">
        <v>5171</v>
      </c>
      <c r="F233" s="94" t="s">
        <v>66</v>
      </c>
      <c r="G233" s="2">
        <v>0</v>
      </c>
      <c r="H233" s="2">
        <v>1403.15</v>
      </c>
      <c r="I233" s="147"/>
      <c r="J233" s="2">
        <f>H233+I233</f>
        <v>1403.15</v>
      </c>
    </row>
    <row r="234" spans="1:10" ht="12" customHeight="1">
      <c r="A234" s="149"/>
      <c r="B234" s="84" t="s">
        <v>2</v>
      </c>
      <c r="C234" s="56" t="s">
        <v>161</v>
      </c>
      <c r="D234" s="62" t="s">
        <v>0</v>
      </c>
      <c r="E234" s="62" t="s">
        <v>0</v>
      </c>
      <c r="F234" s="63" t="s">
        <v>162</v>
      </c>
      <c r="G234" s="39">
        <f>SUM(G235:G237)</f>
        <v>0</v>
      </c>
      <c r="H234" s="8">
        <f>SUM(H235:H237)</f>
        <v>1650.8045</v>
      </c>
      <c r="I234" s="141">
        <f>SUM(I235:I237)</f>
        <v>8.065999999999999</v>
      </c>
      <c r="J234" s="39">
        <f>SUM(J235:J237)</f>
        <v>1658.8705</v>
      </c>
    </row>
    <row r="235" spans="1:10" ht="12" customHeight="1">
      <c r="A235" s="149"/>
      <c r="B235" s="64"/>
      <c r="C235" s="65"/>
      <c r="D235" s="53">
        <v>2212</v>
      </c>
      <c r="E235" s="88">
        <v>5169</v>
      </c>
      <c r="F235" s="18" t="s">
        <v>9</v>
      </c>
      <c r="G235" s="4">
        <v>0</v>
      </c>
      <c r="H235" s="10">
        <v>4.22</v>
      </c>
      <c r="I235" s="144"/>
      <c r="J235" s="4">
        <f>H235+I235</f>
        <v>4.22</v>
      </c>
    </row>
    <row r="236" spans="1:10" ht="12" customHeight="1">
      <c r="A236" s="149"/>
      <c r="B236" s="64"/>
      <c r="C236" s="96" t="s">
        <v>63</v>
      </c>
      <c r="D236" s="53">
        <v>2212</v>
      </c>
      <c r="E236" s="88">
        <v>5169</v>
      </c>
      <c r="F236" s="18" t="s">
        <v>9</v>
      </c>
      <c r="G236" s="4">
        <v>0</v>
      </c>
      <c r="H236" s="4">
        <f>23.9125+14.823+9.378</f>
        <v>48.1135</v>
      </c>
      <c r="I236" s="144">
        <f>4.941+3.125</f>
        <v>8.065999999999999</v>
      </c>
      <c r="J236" s="4">
        <f>H236+I236</f>
        <v>56.179500000000004</v>
      </c>
    </row>
    <row r="237" spans="1:10" ht="12" customHeight="1" thickBot="1">
      <c r="A237" s="149"/>
      <c r="B237" s="91"/>
      <c r="C237" s="92" t="s">
        <v>63</v>
      </c>
      <c r="D237" s="52">
        <v>2212</v>
      </c>
      <c r="E237" s="93">
        <v>5171</v>
      </c>
      <c r="F237" s="94" t="s">
        <v>66</v>
      </c>
      <c r="G237" s="2">
        <v>0</v>
      </c>
      <c r="H237" s="1">
        <v>1598.471</v>
      </c>
      <c r="I237" s="1"/>
      <c r="J237" s="2">
        <f>H237+I237</f>
        <v>1598.471</v>
      </c>
    </row>
    <row r="238" spans="1:10" ht="12" customHeight="1">
      <c r="A238" s="149"/>
      <c r="B238" s="84" t="s">
        <v>2</v>
      </c>
      <c r="C238" s="56" t="s">
        <v>163</v>
      </c>
      <c r="D238" s="62" t="s">
        <v>0</v>
      </c>
      <c r="E238" s="62" t="s">
        <v>0</v>
      </c>
      <c r="F238" s="63" t="s">
        <v>164</v>
      </c>
      <c r="G238" s="39">
        <f>SUM(G239:G241)</f>
        <v>0</v>
      </c>
      <c r="H238" s="8">
        <f>SUM(H239:H241)</f>
        <v>2806.5924999999997</v>
      </c>
      <c r="I238" s="39">
        <f>SUM(I239:I241)</f>
        <v>0</v>
      </c>
      <c r="J238" s="39">
        <f>SUM(J239:J241)</f>
        <v>2806.5924999999997</v>
      </c>
    </row>
    <row r="239" spans="1:10" ht="12" customHeight="1">
      <c r="A239" s="149"/>
      <c r="B239" s="64"/>
      <c r="C239" s="65"/>
      <c r="D239" s="53">
        <v>2212</v>
      </c>
      <c r="E239" s="88">
        <v>5169</v>
      </c>
      <c r="F239" s="18" t="s">
        <v>9</v>
      </c>
      <c r="G239" s="4">
        <v>0</v>
      </c>
      <c r="H239" s="10">
        <v>4.22</v>
      </c>
      <c r="I239" s="4"/>
      <c r="J239" s="4">
        <f>H239+I239</f>
        <v>4.22</v>
      </c>
    </row>
    <row r="240" spans="1:10" ht="12" customHeight="1">
      <c r="A240" s="149"/>
      <c r="B240" s="64"/>
      <c r="C240" s="96" t="s">
        <v>63</v>
      </c>
      <c r="D240" s="53">
        <v>2212</v>
      </c>
      <c r="E240" s="88">
        <v>5169</v>
      </c>
      <c r="F240" s="18" t="s">
        <v>9</v>
      </c>
      <c r="G240" s="4">
        <v>0</v>
      </c>
      <c r="H240" s="4">
        <f>23.9125+26.922+19.844</f>
        <v>70.67850000000001</v>
      </c>
      <c r="I240" s="4"/>
      <c r="J240" s="4">
        <f>H240+I240</f>
        <v>70.67850000000001</v>
      </c>
    </row>
    <row r="241" spans="1:10" ht="12" customHeight="1" thickBot="1">
      <c r="A241" s="149"/>
      <c r="B241" s="91"/>
      <c r="C241" s="92" t="s">
        <v>63</v>
      </c>
      <c r="D241" s="52">
        <v>2212</v>
      </c>
      <c r="E241" s="93">
        <v>5171</v>
      </c>
      <c r="F241" s="94" t="s">
        <v>66</v>
      </c>
      <c r="G241" s="2">
        <v>0</v>
      </c>
      <c r="H241" s="1">
        <v>2731.694</v>
      </c>
      <c r="I241" s="1"/>
      <c r="J241" s="2">
        <f>H241+I241</f>
        <v>2731.694</v>
      </c>
    </row>
    <row r="242" spans="1:10" ht="12" customHeight="1">
      <c r="A242" s="149"/>
      <c r="B242" s="84" t="s">
        <v>2</v>
      </c>
      <c r="C242" s="56" t="s">
        <v>165</v>
      </c>
      <c r="D242" s="62" t="s">
        <v>0</v>
      </c>
      <c r="E242" s="62" t="s">
        <v>0</v>
      </c>
      <c r="F242" s="63" t="s">
        <v>166</v>
      </c>
      <c r="G242" s="39">
        <f>SUM(G243:G245)</f>
        <v>0</v>
      </c>
      <c r="H242" s="8">
        <f>SUM(H243:H245)</f>
        <v>4798.0685</v>
      </c>
      <c r="I242" s="39">
        <f>SUM(I243:I245)</f>
        <v>0</v>
      </c>
      <c r="J242" s="39">
        <f>SUM(J243:J245)</f>
        <v>4798.0685</v>
      </c>
    </row>
    <row r="243" spans="1:10" ht="12" customHeight="1">
      <c r="A243" s="149"/>
      <c r="B243" s="64"/>
      <c r="C243" s="65"/>
      <c r="D243" s="53">
        <v>2212</v>
      </c>
      <c r="E243" s="88">
        <v>5169</v>
      </c>
      <c r="F243" s="18" t="s">
        <v>9</v>
      </c>
      <c r="G243" s="4">
        <v>0</v>
      </c>
      <c r="H243" s="10">
        <v>4.22</v>
      </c>
      <c r="I243" s="4"/>
      <c r="J243" s="4">
        <f>H243+I243</f>
        <v>4.22</v>
      </c>
    </row>
    <row r="244" spans="1:10" ht="12" customHeight="1">
      <c r="A244" s="149"/>
      <c r="B244" s="64"/>
      <c r="C244" s="96" t="s">
        <v>63</v>
      </c>
      <c r="D244" s="53">
        <v>2212</v>
      </c>
      <c r="E244" s="88">
        <v>5169</v>
      </c>
      <c r="F244" s="18" t="s">
        <v>9</v>
      </c>
      <c r="G244" s="4">
        <v>0</v>
      </c>
      <c r="H244" s="4">
        <f>23.9125+64.13+51.425</f>
        <v>139.46749999999997</v>
      </c>
      <c r="I244" s="4"/>
      <c r="J244" s="4">
        <f>H244+I244</f>
        <v>139.46749999999997</v>
      </c>
    </row>
    <row r="245" spans="1:10" ht="12" customHeight="1" thickBot="1">
      <c r="A245" s="149"/>
      <c r="B245" s="74"/>
      <c r="C245" s="110" t="s">
        <v>63</v>
      </c>
      <c r="D245" s="53">
        <v>2212</v>
      </c>
      <c r="E245" s="105">
        <v>5171</v>
      </c>
      <c r="F245" s="58" t="s">
        <v>66</v>
      </c>
      <c r="G245" s="3">
        <v>0</v>
      </c>
      <c r="H245" s="1">
        <v>4654.381</v>
      </c>
      <c r="I245" s="1"/>
      <c r="J245" s="1">
        <f>H245+I245</f>
        <v>4654.381</v>
      </c>
    </row>
    <row r="246" spans="1:10" ht="12" customHeight="1">
      <c r="A246" s="149"/>
      <c r="B246" s="84" t="s">
        <v>2</v>
      </c>
      <c r="C246" s="56" t="s">
        <v>167</v>
      </c>
      <c r="D246" s="62" t="s">
        <v>0</v>
      </c>
      <c r="E246" s="62" t="s">
        <v>0</v>
      </c>
      <c r="F246" s="63" t="s">
        <v>168</v>
      </c>
      <c r="G246" s="39">
        <f>SUM(G247:G249)</f>
        <v>0</v>
      </c>
      <c r="H246" s="8">
        <f>SUM(H247:H249)</f>
        <v>9853.4165</v>
      </c>
      <c r="I246" s="39">
        <f>SUM(I247:I249)</f>
        <v>0</v>
      </c>
      <c r="J246" s="39">
        <f>SUM(J247:J249)</f>
        <v>9853.4165</v>
      </c>
    </row>
    <row r="247" spans="1:10" ht="12" customHeight="1">
      <c r="A247" s="149"/>
      <c r="B247" s="64"/>
      <c r="C247" s="65"/>
      <c r="D247" s="53">
        <v>2212</v>
      </c>
      <c r="E247" s="88">
        <v>5169</v>
      </c>
      <c r="F247" s="18" t="s">
        <v>9</v>
      </c>
      <c r="G247" s="4">
        <v>0</v>
      </c>
      <c r="H247" s="10">
        <v>4.22</v>
      </c>
      <c r="I247" s="4"/>
      <c r="J247" s="4">
        <f>H247+I247</f>
        <v>4.22</v>
      </c>
    </row>
    <row r="248" spans="1:10" ht="12" customHeight="1">
      <c r="A248" s="149"/>
      <c r="B248" s="64"/>
      <c r="C248" s="96" t="s">
        <v>63</v>
      </c>
      <c r="D248" s="53">
        <v>2212</v>
      </c>
      <c r="E248" s="88">
        <v>5169</v>
      </c>
      <c r="F248" s="18" t="s">
        <v>9</v>
      </c>
      <c r="G248" s="4">
        <v>0</v>
      </c>
      <c r="H248" s="4">
        <f>23.9125+64.13+51.425</f>
        <v>139.46749999999997</v>
      </c>
      <c r="I248" s="4"/>
      <c r="J248" s="4">
        <f>H248+I248</f>
        <v>139.46749999999997</v>
      </c>
    </row>
    <row r="249" spans="1:10" ht="12" customHeight="1" thickBot="1">
      <c r="A249" s="149"/>
      <c r="B249" s="103"/>
      <c r="C249" s="104" t="s">
        <v>63</v>
      </c>
      <c r="D249" s="43">
        <v>2212</v>
      </c>
      <c r="E249" s="105">
        <v>5171</v>
      </c>
      <c r="F249" s="58" t="s">
        <v>66</v>
      </c>
      <c r="G249" s="1">
        <v>0</v>
      </c>
      <c r="H249" s="1">
        <v>9709.729</v>
      </c>
      <c r="I249" s="1"/>
      <c r="J249" s="1">
        <f>H249+I249</f>
        <v>9709.729</v>
      </c>
    </row>
    <row r="250" spans="1:10" ht="12" customHeight="1">
      <c r="A250" s="149"/>
      <c r="B250" s="84" t="s">
        <v>2</v>
      </c>
      <c r="C250" s="56" t="s">
        <v>169</v>
      </c>
      <c r="D250" s="62" t="s">
        <v>0</v>
      </c>
      <c r="E250" s="62" t="s">
        <v>0</v>
      </c>
      <c r="F250" s="63" t="s">
        <v>170</v>
      </c>
      <c r="G250" s="39">
        <f>SUM(G251:G253)</f>
        <v>0</v>
      </c>
      <c r="H250" s="8">
        <f>SUM(H251:H253)</f>
        <v>4297.423500000001</v>
      </c>
      <c r="I250" s="39">
        <f>SUM(I251:I253)</f>
        <v>0</v>
      </c>
      <c r="J250" s="39">
        <f>SUM(J251:J253)</f>
        <v>4297.423500000001</v>
      </c>
    </row>
    <row r="251" spans="1:10" ht="12" customHeight="1">
      <c r="A251" s="149"/>
      <c r="B251" s="64"/>
      <c r="C251" s="65"/>
      <c r="D251" s="53">
        <v>2212</v>
      </c>
      <c r="E251" s="88">
        <v>5169</v>
      </c>
      <c r="F251" s="18" t="s">
        <v>9</v>
      </c>
      <c r="G251" s="4">
        <v>0</v>
      </c>
      <c r="H251" s="10">
        <v>4.22</v>
      </c>
      <c r="I251" s="4"/>
      <c r="J251" s="4">
        <f>H251+I251</f>
        <v>4.22</v>
      </c>
    </row>
    <row r="252" spans="1:10" ht="12" customHeight="1">
      <c r="A252" s="149"/>
      <c r="B252" s="64"/>
      <c r="C252" s="96" t="s">
        <v>63</v>
      </c>
      <c r="D252" s="53">
        <v>2212</v>
      </c>
      <c r="E252" s="88">
        <v>5169</v>
      </c>
      <c r="F252" s="18" t="s">
        <v>9</v>
      </c>
      <c r="G252" s="4">
        <v>0</v>
      </c>
      <c r="H252" s="4">
        <f>23.9125+49.126+38.163</f>
        <v>111.2015</v>
      </c>
      <c r="I252" s="4"/>
      <c r="J252" s="4">
        <f>H252+I252</f>
        <v>111.2015</v>
      </c>
    </row>
    <row r="253" spans="1:10" ht="12" customHeight="1" thickBot="1">
      <c r="A253" s="149"/>
      <c r="B253" s="91"/>
      <c r="C253" s="92" t="s">
        <v>63</v>
      </c>
      <c r="D253" s="43">
        <v>2212</v>
      </c>
      <c r="E253" s="105">
        <v>5171</v>
      </c>
      <c r="F253" s="58" t="s">
        <v>66</v>
      </c>
      <c r="G253" s="2">
        <v>0</v>
      </c>
      <c r="H253" s="1">
        <v>4182.002</v>
      </c>
      <c r="I253" s="1"/>
      <c r="J253" s="1">
        <f>H253+I253</f>
        <v>4182.002</v>
      </c>
    </row>
    <row r="254" spans="1:10" ht="12" customHeight="1">
      <c r="A254" s="149"/>
      <c r="B254" s="84" t="s">
        <v>2</v>
      </c>
      <c r="C254" s="56" t="s">
        <v>171</v>
      </c>
      <c r="D254" s="62" t="s">
        <v>0</v>
      </c>
      <c r="E254" s="62" t="s">
        <v>0</v>
      </c>
      <c r="F254" s="63" t="s">
        <v>172</v>
      </c>
      <c r="G254" s="39">
        <f>SUM(G255:G256)</f>
        <v>0</v>
      </c>
      <c r="H254" s="8">
        <f>SUM(H255:H256)</f>
        <v>130.996</v>
      </c>
      <c r="I254" s="39">
        <f>SUM(I255:I256)</f>
        <v>0</v>
      </c>
      <c r="J254" s="39">
        <f>SUM(J255:J256)</f>
        <v>130.996</v>
      </c>
    </row>
    <row r="255" spans="1:10" ht="12" customHeight="1">
      <c r="A255" s="149"/>
      <c r="B255" s="115"/>
      <c r="C255" s="65"/>
      <c r="D255" s="53">
        <v>2212</v>
      </c>
      <c r="E255" s="88">
        <v>5169</v>
      </c>
      <c r="F255" s="18" t="s">
        <v>9</v>
      </c>
      <c r="G255" s="4">
        <v>0</v>
      </c>
      <c r="H255" s="4">
        <v>27.225</v>
      </c>
      <c r="I255" s="4"/>
      <c r="J255" s="4">
        <f>H255+I255</f>
        <v>27.225</v>
      </c>
    </row>
    <row r="256" spans="1:10" ht="12" customHeight="1" thickBot="1">
      <c r="A256" s="149"/>
      <c r="B256" s="103"/>
      <c r="C256" s="119"/>
      <c r="D256" s="43">
        <v>2212</v>
      </c>
      <c r="E256" s="105">
        <v>5171</v>
      </c>
      <c r="F256" s="58" t="s">
        <v>66</v>
      </c>
      <c r="G256" s="1">
        <v>0</v>
      </c>
      <c r="H256" s="1">
        <f>104.828-1.057</f>
        <v>103.771</v>
      </c>
      <c r="I256" s="1"/>
      <c r="J256" s="1">
        <f>H256+I256</f>
        <v>103.771</v>
      </c>
    </row>
    <row r="257" spans="1:10" ht="12" customHeight="1">
      <c r="A257" s="149"/>
      <c r="B257" s="84" t="s">
        <v>2</v>
      </c>
      <c r="C257" s="56" t="s">
        <v>173</v>
      </c>
      <c r="D257" s="62" t="s">
        <v>0</v>
      </c>
      <c r="E257" s="62" t="s">
        <v>0</v>
      </c>
      <c r="F257" s="63" t="s">
        <v>174</v>
      </c>
      <c r="G257" s="39">
        <f>SUM(G258:G260)</f>
        <v>0</v>
      </c>
      <c r="H257" s="8">
        <f>SUM(H258:H260)</f>
        <v>1369.9669999999999</v>
      </c>
      <c r="I257" s="39">
        <f>SUM(I258:I260)</f>
        <v>0</v>
      </c>
      <c r="J257" s="39">
        <f>SUM(J258:J260)</f>
        <v>1369.9669999999999</v>
      </c>
    </row>
    <row r="258" spans="1:10" ht="12" customHeight="1">
      <c r="A258" s="149"/>
      <c r="B258" s="64"/>
      <c r="C258" s="65"/>
      <c r="D258" s="53">
        <v>2212</v>
      </c>
      <c r="E258" s="88">
        <v>5169</v>
      </c>
      <c r="F258" s="18" t="s">
        <v>9</v>
      </c>
      <c r="G258" s="4">
        <v>0</v>
      </c>
      <c r="H258" s="4">
        <v>39.325</v>
      </c>
      <c r="I258" s="4"/>
      <c r="J258" s="4">
        <f>H258+I258</f>
        <v>39.325</v>
      </c>
    </row>
    <row r="259" spans="1:10" ht="12" customHeight="1">
      <c r="A259" s="149"/>
      <c r="B259" s="64"/>
      <c r="C259" s="96" t="s">
        <v>63</v>
      </c>
      <c r="D259" s="53">
        <v>2212</v>
      </c>
      <c r="E259" s="88">
        <v>5169</v>
      </c>
      <c r="F259" s="18" t="s">
        <v>9</v>
      </c>
      <c r="G259" s="4">
        <v>0</v>
      </c>
      <c r="H259" s="4">
        <f>29.04+26.051</f>
        <v>55.090999999999994</v>
      </c>
      <c r="I259" s="4"/>
      <c r="J259" s="4">
        <f>H259+I259</f>
        <v>55.090999999999994</v>
      </c>
    </row>
    <row r="260" spans="1:10" ht="12" customHeight="1" thickBot="1">
      <c r="A260" s="149"/>
      <c r="B260" s="91"/>
      <c r="C260" s="92" t="s">
        <v>63</v>
      </c>
      <c r="D260" s="43">
        <v>2212</v>
      </c>
      <c r="E260" s="105">
        <v>5171</v>
      </c>
      <c r="F260" s="58" t="s">
        <v>66</v>
      </c>
      <c r="G260" s="2">
        <v>0</v>
      </c>
      <c r="H260" s="1">
        <f>906.986+372.195-3.63</f>
        <v>1275.551</v>
      </c>
      <c r="I260" s="4"/>
      <c r="J260" s="1">
        <f>H260+I260</f>
        <v>1275.551</v>
      </c>
    </row>
    <row r="261" spans="1:10" ht="12" customHeight="1">
      <c r="A261" s="149"/>
      <c r="B261" s="84" t="s">
        <v>2</v>
      </c>
      <c r="C261" s="56" t="s">
        <v>175</v>
      </c>
      <c r="D261" s="62" t="s">
        <v>0</v>
      </c>
      <c r="E261" s="62" t="s">
        <v>0</v>
      </c>
      <c r="F261" s="63" t="s">
        <v>176</v>
      </c>
      <c r="G261" s="39">
        <f>SUM(G262:G264)</f>
        <v>0</v>
      </c>
      <c r="H261" s="8">
        <f>SUM(H262:H264)</f>
        <v>3018.022</v>
      </c>
      <c r="I261" s="39">
        <f>SUM(I262:I264)</f>
        <v>0</v>
      </c>
      <c r="J261" s="39">
        <f>SUM(J262:J264)</f>
        <v>3018.022</v>
      </c>
    </row>
    <row r="262" spans="1:10" ht="12" customHeight="1">
      <c r="A262" s="149"/>
      <c r="B262" s="64"/>
      <c r="C262" s="65"/>
      <c r="D262" s="53">
        <v>2212</v>
      </c>
      <c r="E262" s="88">
        <v>5169</v>
      </c>
      <c r="F262" s="18" t="s">
        <v>9</v>
      </c>
      <c r="G262" s="4">
        <v>0</v>
      </c>
      <c r="H262" s="4">
        <v>63.525</v>
      </c>
      <c r="I262" s="4"/>
      <c r="J262" s="4">
        <f>H262+I262</f>
        <v>63.525</v>
      </c>
    </row>
    <row r="263" spans="1:10" ht="12" customHeight="1">
      <c r="A263" s="149"/>
      <c r="B263" s="64"/>
      <c r="C263" s="96" t="s">
        <v>63</v>
      </c>
      <c r="D263" s="53">
        <v>2212</v>
      </c>
      <c r="E263" s="88">
        <v>5169</v>
      </c>
      <c r="F263" s="18" t="s">
        <v>9</v>
      </c>
      <c r="G263" s="4">
        <v>0</v>
      </c>
      <c r="H263" s="10">
        <f>48.4+20.57</f>
        <v>68.97</v>
      </c>
      <c r="I263" s="4"/>
      <c r="J263" s="4">
        <f>H263+I263</f>
        <v>68.97</v>
      </c>
    </row>
    <row r="264" spans="1:10" ht="12" customHeight="1" thickBot="1">
      <c r="A264" s="149"/>
      <c r="B264" s="91"/>
      <c r="C264" s="92" t="s">
        <v>63</v>
      </c>
      <c r="D264" s="43">
        <v>2212</v>
      </c>
      <c r="E264" s="105">
        <v>5171</v>
      </c>
      <c r="F264" s="58" t="s">
        <v>66</v>
      </c>
      <c r="G264" s="2">
        <v>0</v>
      </c>
      <c r="H264" s="1">
        <v>2885.527</v>
      </c>
      <c r="I264" s="1"/>
      <c r="J264" s="1">
        <f>H264+I264</f>
        <v>2885.527</v>
      </c>
    </row>
    <row r="265" spans="1:10" ht="12" customHeight="1">
      <c r="A265" s="149"/>
      <c r="B265" s="84" t="s">
        <v>2</v>
      </c>
      <c r="C265" s="56" t="s">
        <v>177</v>
      </c>
      <c r="D265" s="62" t="s">
        <v>0</v>
      </c>
      <c r="E265" s="62" t="s">
        <v>0</v>
      </c>
      <c r="F265" s="63" t="s">
        <v>178</v>
      </c>
      <c r="G265" s="39">
        <f>SUM(G266:G268)</f>
        <v>0</v>
      </c>
      <c r="H265" s="8">
        <f>SUM(H266:H268)</f>
        <v>642.8910000000001</v>
      </c>
      <c r="I265" s="39">
        <f>SUM(I266:I268)</f>
        <v>0</v>
      </c>
      <c r="J265" s="39">
        <f>SUM(J266:J268)</f>
        <v>642.8910000000001</v>
      </c>
    </row>
    <row r="266" spans="1:10" ht="12" customHeight="1">
      <c r="A266" s="149"/>
      <c r="B266" s="64"/>
      <c r="C266" s="65"/>
      <c r="D266" s="53">
        <v>2212</v>
      </c>
      <c r="E266" s="88">
        <v>5169</v>
      </c>
      <c r="F266" s="18" t="s">
        <v>9</v>
      </c>
      <c r="G266" s="4">
        <v>0</v>
      </c>
      <c r="H266" s="4">
        <v>39.325</v>
      </c>
      <c r="I266" s="4"/>
      <c r="J266" s="4">
        <f>H266+I266</f>
        <v>39.325</v>
      </c>
    </row>
    <row r="267" spans="1:10" ht="12" customHeight="1">
      <c r="A267" s="149"/>
      <c r="B267" s="64"/>
      <c r="C267" s="96" t="s">
        <v>63</v>
      </c>
      <c r="D267" s="53">
        <v>2212</v>
      </c>
      <c r="E267" s="88">
        <v>5169</v>
      </c>
      <c r="F267" s="18" t="s">
        <v>9</v>
      </c>
      <c r="G267" s="4">
        <v>0</v>
      </c>
      <c r="H267" s="4">
        <f>32.838+27.225</f>
        <v>60.063</v>
      </c>
      <c r="I267" s="4"/>
      <c r="J267" s="4">
        <f>H267+I267</f>
        <v>60.063</v>
      </c>
    </row>
    <row r="268" spans="1:10" ht="12" customHeight="1" thickBot="1">
      <c r="A268" s="149"/>
      <c r="B268" s="103"/>
      <c r="C268" s="119"/>
      <c r="D268" s="43">
        <v>2212</v>
      </c>
      <c r="E268" s="105">
        <v>5171</v>
      </c>
      <c r="F268" s="58" t="s">
        <v>66</v>
      </c>
      <c r="G268" s="1">
        <v>0</v>
      </c>
      <c r="H268" s="1">
        <v>543.503</v>
      </c>
      <c r="I268" s="1"/>
      <c r="J268" s="1">
        <f>H268+I268</f>
        <v>543.503</v>
      </c>
    </row>
    <row r="269" spans="1:10" ht="12" customHeight="1">
      <c r="A269" s="149"/>
      <c r="B269" s="84" t="s">
        <v>2</v>
      </c>
      <c r="C269" s="56" t="s">
        <v>179</v>
      </c>
      <c r="D269" s="62" t="s">
        <v>0</v>
      </c>
      <c r="E269" s="62" t="s">
        <v>0</v>
      </c>
      <c r="F269" s="63" t="s">
        <v>180</v>
      </c>
      <c r="G269" s="39">
        <f>SUM(G270:G272)</f>
        <v>0</v>
      </c>
      <c r="H269" s="8">
        <f>SUM(H270:H272)</f>
        <v>10349.389</v>
      </c>
      <c r="I269" s="141">
        <f>SUM(I270:I272)</f>
        <v>399.045</v>
      </c>
      <c r="J269" s="39">
        <f>SUM(J270:J272)</f>
        <v>10748.434</v>
      </c>
    </row>
    <row r="270" spans="1:10" ht="12" customHeight="1">
      <c r="A270" s="149"/>
      <c r="B270" s="64"/>
      <c r="C270" s="65"/>
      <c r="D270" s="53">
        <v>2212</v>
      </c>
      <c r="E270" s="88">
        <v>5169</v>
      </c>
      <c r="F270" s="18" t="s">
        <v>9</v>
      </c>
      <c r="G270" s="4">
        <v>0</v>
      </c>
      <c r="H270" s="4">
        <v>51.425</v>
      </c>
      <c r="I270" s="144"/>
      <c r="J270" s="4">
        <f>H270+I270</f>
        <v>51.425</v>
      </c>
    </row>
    <row r="271" spans="1:10" ht="12" customHeight="1">
      <c r="A271" s="149"/>
      <c r="B271" s="64"/>
      <c r="C271" s="96" t="s">
        <v>63</v>
      </c>
      <c r="D271" s="53">
        <v>2212</v>
      </c>
      <c r="E271" s="88">
        <v>5169</v>
      </c>
      <c r="F271" s="18" t="s">
        <v>9</v>
      </c>
      <c r="G271" s="4">
        <v>0</v>
      </c>
      <c r="H271" s="4">
        <f>84.441+51.425</f>
        <v>135.86599999999999</v>
      </c>
      <c r="I271" s="144"/>
      <c r="J271" s="4">
        <f>H271+I271</f>
        <v>135.86599999999999</v>
      </c>
    </row>
    <row r="272" spans="1:10" ht="12" customHeight="1" thickBot="1">
      <c r="A272" s="149"/>
      <c r="B272" s="91"/>
      <c r="C272" s="92" t="s">
        <v>63</v>
      </c>
      <c r="D272" s="52">
        <v>2212</v>
      </c>
      <c r="E272" s="93">
        <v>5171</v>
      </c>
      <c r="F272" s="94" t="s">
        <v>66</v>
      </c>
      <c r="G272" s="2">
        <v>0</v>
      </c>
      <c r="H272" s="1">
        <v>10162.098</v>
      </c>
      <c r="I272" s="143">
        <v>399.045</v>
      </c>
      <c r="J272" s="2">
        <f>H272+I272</f>
        <v>10561.143</v>
      </c>
    </row>
    <row r="273" spans="1:10" ht="12" customHeight="1">
      <c r="A273" s="149"/>
      <c r="B273" s="84" t="s">
        <v>2</v>
      </c>
      <c r="C273" s="56" t="s">
        <v>181</v>
      </c>
      <c r="D273" s="62" t="s">
        <v>0</v>
      </c>
      <c r="E273" s="62" t="s">
        <v>0</v>
      </c>
      <c r="F273" s="63" t="s">
        <v>182</v>
      </c>
      <c r="G273" s="39">
        <f>SUM(G274:G275)</f>
        <v>0</v>
      </c>
      <c r="H273" s="8">
        <f>SUM(H274:H275)</f>
        <v>29.04</v>
      </c>
      <c r="I273" s="39">
        <f>SUM(I274:I275)</f>
        <v>0</v>
      </c>
      <c r="J273" s="39">
        <f>SUM(J274:J275)</f>
        <v>29.04</v>
      </c>
    </row>
    <row r="274" spans="1:10" ht="12" customHeight="1">
      <c r="A274" s="149"/>
      <c r="B274" s="64"/>
      <c r="C274" s="65"/>
      <c r="D274" s="53">
        <v>2212</v>
      </c>
      <c r="E274" s="88">
        <v>5169</v>
      </c>
      <c r="F274" s="18" t="s">
        <v>9</v>
      </c>
      <c r="G274" s="4">
        <v>0</v>
      </c>
      <c r="H274" s="4">
        <v>4.356</v>
      </c>
      <c r="I274" s="4"/>
      <c r="J274" s="4">
        <f>H274+I274</f>
        <v>4.356</v>
      </c>
    </row>
    <row r="275" spans="1:10" ht="12" customHeight="1" thickBot="1">
      <c r="A275" s="149"/>
      <c r="B275" s="103"/>
      <c r="C275" s="104" t="s">
        <v>63</v>
      </c>
      <c r="D275" s="43">
        <v>2212</v>
      </c>
      <c r="E275" s="105">
        <v>5169</v>
      </c>
      <c r="F275" s="19" t="s">
        <v>9</v>
      </c>
      <c r="G275" s="1">
        <v>0</v>
      </c>
      <c r="H275" s="1">
        <v>24.684</v>
      </c>
      <c r="I275" s="1"/>
      <c r="J275" s="1">
        <f>H275+I275</f>
        <v>24.684</v>
      </c>
    </row>
    <row r="276" spans="1:10" ht="12" customHeight="1">
      <c r="A276" s="149"/>
      <c r="B276" s="84" t="s">
        <v>2</v>
      </c>
      <c r="C276" s="56" t="s">
        <v>183</v>
      </c>
      <c r="D276" s="62" t="s">
        <v>0</v>
      </c>
      <c r="E276" s="62" t="s">
        <v>0</v>
      </c>
      <c r="F276" s="63" t="s">
        <v>184</v>
      </c>
      <c r="G276" s="39">
        <f>SUM(G277:G279)</f>
        <v>0</v>
      </c>
      <c r="H276" s="8">
        <f>SUM(H277:H279)</f>
        <v>475.373</v>
      </c>
      <c r="I276" s="141">
        <f>SUM(I277:I279)</f>
        <v>-28.917</v>
      </c>
      <c r="J276" s="39">
        <f>SUM(J277:J279)</f>
        <v>446.456</v>
      </c>
    </row>
    <row r="277" spans="1:10" ht="12" customHeight="1">
      <c r="A277" s="149"/>
      <c r="B277" s="64"/>
      <c r="C277" s="65"/>
      <c r="D277" s="53">
        <v>2212</v>
      </c>
      <c r="E277" s="88">
        <v>5169</v>
      </c>
      <c r="F277" s="18" t="s">
        <v>9</v>
      </c>
      <c r="G277" s="4">
        <v>0</v>
      </c>
      <c r="H277" s="4">
        <v>4.356</v>
      </c>
      <c r="I277" s="144"/>
      <c r="J277" s="4">
        <f>H277+I277</f>
        <v>4.356</v>
      </c>
    </row>
    <row r="278" spans="1:10" ht="12" customHeight="1">
      <c r="A278" s="149"/>
      <c r="B278" s="64"/>
      <c r="C278" s="96" t="s">
        <v>63</v>
      </c>
      <c r="D278" s="53">
        <v>2212</v>
      </c>
      <c r="E278" s="88">
        <v>5169</v>
      </c>
      <c r="F278" s="18" t="s">
        <v>9</v>
      </c>
      <c r="G278" s="4">
        <v>0</v>
      </c>
      <c r="H278" s="4">
        <f>24.684+11.798+8.47</f>
        <v>44.952</v>
      </c>
      <c r="I278" s="144"/>
      <c r="J278" s="4">
        <f>H278+I278</f>
        <v>44.952</v>
      </c>
    </row>
    <row r="279" spans="1:10" ht="12" customHeight="1" thickBot="1">
      <c r="A279" s="149"/>
      <c r="B279" s="64"/>
      <c r="C279" s="65"/>
      <c r="D279" s="53">
        <v>2212</v>
      </c>
      <c r="E279" s="88">
        <v>5171</v>
      </c>
      <c r="F279" s="89" t="s">
        <v>66</v>
      </c>
      <c r="G279" s="4">
        <v>0</v>
      </c>
      <c r="H279" s="1">
        <v>426.065</v>
      </c>
      <c r="I279" s="143">
        <v>-28.917</v>
      </c>
      <c r="J279" s="4">
        <f>H279+I279</f>
        <v>397.148</v>
      </c>
    </row>
    <row r="280" spans="1:10" ht="12" customHeight="1">
      <c r="A280" s="149"/>
      <c r="B280" s="84" t="s">
        <v>2</v>
      </c>
      <c r="C280" s="56" t="s">
        <v>185</v>
      </c>
      <c r="D280" s="62" t="s">
        <v>0</v>
      </c>
      <c r="E280" s="62" t="s">
        <v>0</v>
      </c>
      <c r="F280" s="63" t="s">
        <v>186</v>
      </c>
      <c r="G280" s="39">
        <f>SUM(G281:G283)</f>
        <v>0</v>
      </c>
      <c r="H280" s="8">
        <f>SUM(H281:H283)</f>
        <v>387.753</v>
      </c>
      <c r="I280" s="39">
        <f>SUM(I281:I283)</f>
        <v>0</v>
      </c>
      <c r="J280" s="39">
        <f>SUM(J281:J283)</f>
        <v>387.753</v>
      </c>
    </row>
    <row r="281" spans="1:10" ht="12" customHeight="1">
      <c r="A281" s="149"/>
      <c r="B281" s="64"/>
      <c r="C281" s="65"/>
      <c r="D281" s="53">
        <v>2212</v>
      </c>
      <c r="E281" s="88">
        <v>5169</v>
      </c>
      <c r="F281" s="18" t="s">
        <v>9</v>
      </c>
      <c r="G281" s="4">
        <v>0</v>
      </c>
      <c r="H281" s="4">
        <v>4.356</v>
      </c>
      <c r="I281" s="4"/>
      <c r="J281" s="4">
        <f>H281+I281</f>
        <v>4.356</v>
      </c>
    </row>
    <row r="282" spans="1:10" ht="12" customHeight="1">
      <c r="A282" s="149"/>
      <c r="B282" s="64"/>
      <c r="C282" s="96" t="s">
        <v>63</v>
      </c>
      <c r="D282" s="53">
        <v>2212</v>
      </c>
      <c r="E282" s="88">
        <v>5169</v>
      </c>
      <c r="F282" s="18" t="s">
        <v>9</v>
      </c>
      <c r="G282" s="4">
        <v>0</v>
      </c>
      <c r="H282" s="4">
        <f>24.684+23.595+16.94</f>
        <v>65.219</v>
      </c>
      <c r="I282" s="4"/>
      <c r="J282" s="4">
        <f>H282+I282</f>
        <v>65.219</v>
      </c>
    </row>
    <row r="283" spans="1:10" ht="12" customHeight="1" thickBot="1">
      <c r="A283" s="149"/>
      <c r="B283" s="91"/>
      <c r="C283" s="92" t="s">
        <v>63</v>
      </c>
      <c r="D283" s="52">
        <v>2212</v>
      </c>
      <c r="E283" s="93">
        <v>5171</v>
      </c>
      <c r="F283" s="94" t="s">
        <v>66</v>
      </c>
      <c r="G283" s="2">
        <v>0</v>
      </c>
      <c r="H283" s="1">
        <v>318.178</v>
      </c>
      <c r="I283" s="1"/>
      <c r="J283" s="2">
        <f>H283+I283</f>
        <v>318.178</v>
      </c>
    </row>
    <row r="284" spans="1:10" ht="12" customHeight="1">
      <c r="A284" s="149"/>
      <c r="B284" s="84" t="s">
        <v>2</v>
      </c>
      <c r="C284" s="56" t="s">
        <v>187</v>
      </c>
      <c r="D284" s="62" t="s">
        <v>0</v>
      </c>
      <c r="E284" s="62" t="s">
        <v>0</v>
      </c>
      <c r="F284" s="63" t="s">
        <v>188</v>
      </c>
      <c r="G284" s="39">
        <f>SUM(G285:G287)</f>
        <v>0</v>
      </c>
      <c r="H284" s="8">
        <f>SUM(H285:H287)</f>
        <v>1320.8</v>
      </c>
      <c r="I284" s="39">
        <f>SUM(I285:I287)</f>
        <v>0</v>
      </c>
      <c r="J284" s="39">
        <f>SUM(J285:J287)</f>
        <v>1320.8</v>
      </c>
    </row>
    <row r="285" spans="1:10" ht="12" customHeight="1">
      <c r="A285" s="149"/>
      <c r="B285" s="64"/>
      <c r="C285" s="65"/>
      <c r="D285" s="53">
        <v>2212</v>
      </c>
      <c r="E285" s="88">
        <v>5169</v>
      </c>
      <c r="F285" s="18" t="s">
        <v>9</v>
      </c>
      <c r="G285" s="4">
        <v>0</v>
      </c>
      <c r="H285" s="4">
        <v>4.356</v>
      </c>
      <c r="I285" s="4"/>
      <c r="J285" s="4">
        <f>H285+I285</f>
        <v>4.356</v>
      </c>
    </row>
    <row r="286" spans="1:10" ht="12" customHeight="1">
      <c r="A286" s="149"/>
      <c r="B286" s="64"/>
      <c r="C286" s="96" t="s">
        <v>63</v>
      </c>
      <c r="D286" s="53">
        <v>2212</v>
      </c>
      <c r="E286" s="88">
        <v>5169</v>
      </c>
      <c r="F286" s="18" t="s">
        <v>9</v>
      </c>
      <c r="G286" s="4">
        <v>0</v>
      </c>
      <c r="H286" s="4">
        <f>24.684+69.696+31.46</f>
        <v>125.84</v>
      </c>
      <c r="I286" s="4"/>
      <c r="J286" s="4">
        <f>H286+I286</f>
        <v>125.84</v>
      </c>
    </row>
    <row r="287" spans="1:10" ht="12" customHeight="1" thickBot="1">
      <c r="A287" s="149"/>
      <c r="B287" s="91"/>
      <c r="C287" s="92" t="s">
        <v>63</v>
      </c>
      <c r="D287" s="52">
        <v>2212</v>
      </c>
      <c r="E287" s="93">
        <v>5171</v>
      </c>
      <c r="F287" s="94" t="s">
        <v>66</v>
      </c>
      <c r="G287" s="2">
        <v>0</v>
      </c>
      <c r="H287" s="1">
        <v>1190.604</v>
      </c>
      <c r="I287" s="1"/>
      <c r="J287" s="2">
        <f>H287+I287</f>
        <v>1190.604</v>
      </c>
    </row>
    <row r="288" spans="1:10" ht="12" customHeight="1">
      <c r="A288" s="149"/>
      <c r="B288" s="84" t="s">
        <v>2</v>
      </c>
      <c r="C288" s="56" t="s">
        <v>189</v>
      </c>
      <c r="D288" s="62" t="s">
        <v>0</v>
      </c>
      <c r="E288" s="62" t="s">
        <v>0</v>
      </c>
      <c r="F288" s="63" t="s">
        <v>190</v>
      </c>
      <c r="G288" s="39">
        <f>SUM(G289:G291)</f>
        <v>0</v>
      </c>
      <c r="H288" s="8">
        <f>SUM(H289:H291)</f>
        <v>1546.287</v>
      </c>
      <c r="I288" s="39">
        <f>SUM(I289:I291)</f>
        <v>0</v>
      </c>
      <c r="J288" s="39">
        <f>SUM(J289:J291)</f>
        <v>1546.287</v>
      </c>
    </row>
    <row r="289" spans="1:10" ht="12" customHeight="1">
      <c r="A289" s="149"/>
      <c r="B289" s="64"/>
      <c r="C289" s="65"/>
      <c r="D289" s="53">
        <v>2212</v>
      </c>
      <c r="E289" s="88">
        <v>5169</v>
      </c>
      <c r="F289" s="18" t="s">
        <v>9</v>
      </c>
      <c r="G289" s="4">
        <v>0</v>
      </c>
      <c r="H289" s="4">
        <v>4.356</v>
      </c>
      <c r="I289" s="4"/>
      <c r="J289" s="4">
        <f>H289+I289</f>
        <v>4.356</v>
      </c>
    </row>
    <row r="290" spans="1:10" ht="12" customHeight="1">
      <c r="A290" s="149"/>
      <c r="B290" s="64"/>
      <c r="C290" s="96" t="s">
        <v>63</v>
      </c>
      <c r="D290" s="53">
        <v>2212</v>
      </c>
      <c r="E290" s="88">
        <v>5169</v>
      </c>
      <c r="F290" s="18" t="s">
        <v>9</v>
      </c>
      <c r="G290" s="4">
        <v>0</v>
      </c>
      <c r="H290" s="4">
        <f>24.684+19.602+13.915</f>
        <v>58.201</v>
      </c>
      <c r="I290" s="4"/>
      <c r="J290" s="4">
        <f>H290+I290</f>
        <v>58.201</v>
      </c>
    </row>
    <row r="291" spans="1:10" ht="12" customHeight="1" thickBot="1">
      <c r="A291" s="149"/>
      <c r="B291" s="91"/>
      <c r="C291" s="92" t="s">
        <v>63</v>
      </c>
      <c r="D291" s="52">
        <v>2212</v>
      </c>
      <c r="E291" s="93">
        <v>5171</v>
      </c>
      <c r="F291" s="94" t="s">
        <v>66</v>
      </c>
      <c r="G291" s="2">
        <v>0</v>
      </c>
      <c r="H291" s="1">
        <v>1483.73</v>
      </c>
      <c r="I291" s="1"/>
      <c r="J291" s="2">
        <f>H291+I291</f>
        <v>1483.73</v>
      </c>
    </row>
    <row r="292" spans="1:10" ht="12" customHeight="1">
      <c r="A292" s="149"/>
      <c r="B292" s="84" t="s">
        <v>2</v>
      </c>
      <c r="C292" s="56" t="s">
        <v>191</v>
      </c>
      <c r="D292" s="62" t="s">
        <v>0</v>
      </c>
      <c r="E292" s="62" t="s">
        <v>0</v>
      </c>
      <c r="F292" s="63" t="s">
        <v>192</v>
      </c>
      <c r="G292" s="39">
        <f>SUM(G293:G295)</f>
        <v>0</v>
      </c>
      <c r="H292" s="8">
        <f>SUM(H293:H295)</f>
        <v>586.077</v>
      </c>
      <c r="I292" s="39">
        <f>SUM(I293:I295)</f>
        <v>0</v>
      </c>
      <c r="J292" s="39">
        <f>SUM(J293:J295)</f>
        <v>586.077</v>
      </c>
    </row>
    <row r="293" spans="1:10" ht="12" customHeight="1">
      <c r="A293" s="149"/>
      <c r="B293" s="64"/>
      <c r="C293" s="65"/>
      <c r="D293" s="53">
        <v>2212</v>
      </c>
      <c r="E293" s="88">
        <v>5169</v>
      </c>
      <c r="F293" s="18" t="s">
        <v>9</v>
      </c>
      <c r="G293" s="4">
        <v>0</v>
      </c>
      <c r="H293" s="4">
        <v>4.356</v>
      </c>
      <c r="I293" s="4"/>
      <c r="J293" s="4">
        <f>H293+I293</f>
        <v>4.356</v>
      </c>
    </row>
    <row r="294" spans="1:10" ht="12" customHeight="1">
      <c r="A294" s="149"/>
      <c r="B294" s="64"/>
      <c r="C294" s="96" t="s">
        <v>63</v>
      </c>
      <c r="D294" s="53">
        <v>2212</v>
      </c>
      <c r="E294" s="88">
        <v>5169</v>
      </c>
      <c r="F294" s="18" t="s">
        <v>9</v>
      </c>
      <c r="G294" s="4">
        <v>0</v>
      </c>
      <c r="H294" s="4">
        <f>24.684+19.602+13.915</f>
        <v>58.201</v>
      </c>
      <c r="I294" s="4"/>
      <c r="J294" s="4">
        <f>H294+I294</f>
        <v>58.201</v>
      </c>
    </row>
    <row r="295" spans="1:10" ht="12" customHeight="1" thickBot="1">
      <c r="A295" s="149"/>
      <c r="B295" s="91"/>
      <c r="C295" s="92" t="s">
        <v>63</v>
      </c>
      <c r="D295" s="52">
        <v>2212</v>
      </c>
      <c r="E295" s="93">
        <v>5171</v>
      </c>
      <c r="F295" s="94" t="s">
        <v>66</v>
      </c>
      <c r="G295" s="2">
        <v>0</v>
      </c>
      <c r="H295" s="9">
        <v>523.52</v>
      </c>
      <c r="I295" s="1"/>
      <c r="J295" s="2">
        <f>H295+I295</f>
        <v>523.52</v>
      </c>
    </row>
    <row r="296" spans="1:12" ht="12" customHeight="1">
      <c r="A296" s="149"/>
      <c r="B296" s="84" t="s">
        <v>2</v>
      </c>
      <c r="C296" s="56" t="s">
        <v>193</v>
      </c>
      <c r="D296" s="62" t="s">
        <v>0</v>
      </c>
      <c r="E296" s="62" t="s">
        <v>0</v>
      </c>
      <c r="F296" s="63" t="s">
        <v>194</v>
      </c>
      <c r="G296" s="39">
        <f>SUM(G297:G299)</f>
        <v>0</v>
      </c>
      <c r="H296" s="8">
        <f>SUM(H297:H299)</f>
        <v>3485.017</v>
      </c>
      <c r="I296" s="141">
        <f>SUM(I297:I299)</f>
        <v>-60.047</v>
      </c>
      <c r="J296" s="39">
        <f>SUM(J297:J299)</f>
        <v>3424.97</v>
      </c>
      <c r="L296" s="145"/>
    </row>
    <row r="297" spans="1:10" ht="12" customHeight="1">
      <c r="A297" s="149"/>
      <c r="B297" s="64"/>
      <c r="C297" s="65"/>
      <c r="D297" s="53">
        <v>2212</v>
      </c>
      <c r="E297" s="88">
        <v>5169</v>
      </c>
      <c r="F297" s="18" t="s">
        <v>9</v>
      </c>
      <c r="G297" s="4">
        <v>0</v>
      </c>
      <c r="H297" s="4">
        <v>4.356</v>
      </c>
      <c r="I297" s="144"/>
      <c r="J297" s="4">
        <f>H297+I297</f>
        <v>4.356</v>
      </c>
    </row>
    <row r="298" spans="1:10" ht="12" customHeight="1">
      <c r="A298" s="149"/>
      <c r="B298" s="64"/>
      <c r="C298" s="96" t="s">
        <v>63</v>
      </c>
      <c r="D298" s="53">
        <v>2212</v>
      </c>
      <c r="E298" s="88">
        <v>5169</v>
      </c>
      <c r="F298" s="18" t="s">
        <v>9</v>
      </c>
      <c r="G298" s="4">
        <v>0</v>
      </c>
      <c r="H298" s="4">
        <f>24.684+47.722+42.35</f>
        <v>114.756</v>
      </c>
      <c r="I298" s="144">
        <f>-2*15.907-(14.116+14.117)</f>
        <v>-60.047</v>
      </c>
      <c r="J298" s="4">
        <f>H298+I298</f>
        <v>54.709</v>
      </c>
    </row>
    <row r="299" spans="1:10" ht="12" customHeight="1" thickBot="1">
      <c r="A299" s="149"/>
      <c r="B299" s="91"/>
      <c r="C299" s="69"/>
      <c r="D299" s="52">
        <v>2212</v>
      </c>
      <c r="E299" s="93">
        <v>5171</v>
      </c>
      <c r="F299" s="94" t="s">
        <v>66</v>
      </c>
      <c r="G299" s="2">
        <v>0</v>
      </c>
      <c r="H299" s="1">
        <f>2513.988+851.917</f>
        <v>3365.9049999999997</v>
      </c>
      <c r="I299" s="144"/>
      <c r="J299" s="2">
        <f>H299+I299</f>
        <v>3365.9049999999997</v>
      </c>
    </row>
    <row r="300" spans="1:10" ht="12" customHeight="1">
      <c r="A300" s="149"/>
      <c r="B300" s="84" t="s">
        <v>2</v>
      </c>
      <c r="C300" s="56" t="s">
        <v>195</v>
      </c>
      <c r="D300" s="62" t="s">
        <v>0</v>
      </c>
      <c r="E300" s="62" t="s">
        <v>0</v>
      </c>
      <c r="F300" s="63" t="s">
        <v>196</v>
      </c>
      <c r="G300" s="39">
        <f>SUM(G301:G302)</f>
        <v>0</v>
      </c>
      <c r="H300" s="8">
        <f>SUM(H301:H302)</f>
        <v>29.04</v>
      </c>
      <c r="I300" s="39">
        <f>SUM(I301:I302)</f>
        <v>0</v>
      </c>
      <c r="J300" s="39">
        <f>SUM(J301:J302)</f>
        <v>29.04</v>
      </c>
    </row>
    <row r="301" spans="1:12" ht="12" customHeight="1">
      <c r="A301" s="149"/>
      <c r="B301" s="64"/>
      <c r="C301" s="65"/>
      <c r="D301" s="53">
        <v>2212</v>
      </c>
      <c r="E301" s="88">
        <v>5169</v>
      </c>
      <c r="F301" s="18" t="s">
        <v>9</v>
      </c>
      <c r="G301" s="4">
        <v>0</v>
      </c>
      <c r="H301" s="4">
        <v>4.356</v>
      </c>
      <c r="I301" s="4"/>
      <c r="J301" s="4">
        <f>H301+I301</f>
        <v>4.356</v>
      </c>
      <c r="L301" s="145"/>
    </row>
    <row r="302" spans="1:10" ht="12" customHeight="1" thickBot="1">
      <c r="A302" s="149"/>
      <c r="B302" s="74"/>
      <c r="C302" s="110" t="s">
        <v>63</v>
      </c>
      <c r="D302" s="53">
        <v>2212</v>
      </c>
      <c r="E302" s="88">
        <v>5169</v>
      </c>
      <c r="F302" s="18" t="s">
        <v>9</v>
      </c>
      <c r="G302" s="3">
        <v>0</v>
      </c>
      <c r="H302" s="1">
        <v>24.684</v>
      </c>
      <c r="I302" s="1"/>
      <c r="J302" s="4">
        <f>H302+I302</f>
        <v>24.684</v>
      </c>
    </row>
    <row r="303" spans="1:10" ht="12" customHeight="1">
      <c r="A303" s="149"/>
      <c r="B303" s="84" t="s">
        <v>2</v>
      </c>
      <c r="C303" s="56" t="s">
        <v>197</v>
      </c>
      <c r="D303" s="62" t="s">
        <v>0</v>
      </c>
      <c r="E303" s="62" t="s">
        <v>0</v>
      </c>
      <c r="F303" s="63" t="s">
        <v>198</v>
      </c>
      <c r="G303" s="39">
        <f>SUM(G304:G306)</f>
        <v>0</v>
      </c>
      <c r="H303" s="8">
        <f>SUM(H304:H306)</f>
        <v>743.0550000000001</v>
      </c>
      <c r="I303" s="39">
        <f>SUM(I304:I306)</f>
        <v>0</v>
      </c>
      <c r="J303" s="39">
        <f>SUM(J304:J306)</f>
        <v>743.0550000000001</v>
      </c>
    </row>
    <row r="304" spans="1:10" ht="12" customHeight="1">
      <c r="A304" s="149"/>
      <c r="B304" s="64"/>
      <c r="C304" s="65"/>
      <c r="D304" s="53">
        <v>2212</v>
      </c>
      <c r="E304" s="88">
        <v>5169</v>
      </c>
      <c r="F304" s="18" t="s">
        <v>9</v>
      </c>
      <c r="G304" s="4">
        <v>0</v>
      </c>
      <c r="H304" s="4">
        <v>4.356</v>
      </c>
      <c r="I304" s="4"/>
      <c r="J304" s="4">
        <f>H304+I304</f>
        <v>4.356</v>
      </c>
    </row>
    <row r="305" spans="1:10" ht="12" customHeight="1">
      <c r="A305" s="149"/>
      <c r="B305" s="64"/>
      <c r="C305" s="117" t="s">
        <v>63</v>
      </c>
      <c r="D305" s="53">
        <v>2212</v>
      </c>
      <c r="E305" s="88">
        <v>5169</v>
      </c>
      <c r="F305" s="18" t="s">
        <v>9</v>
      </c>
      <c r="G305" s="5">
        <v>0</v>
      </c>
      <c r="H305" s="4">
        <f>24.684+23.595+16.94</f>
        <v>65.219</v>
      </c>
      <c r="I305" s="4"/>
      <c r="J305" s="4">
        <f>H305+I305</f>
        <v>65.219</v>
      </c>
    </row>
    <row r="306" spans="1:10" ht="12" customHeight="1" thickBot="1">
      <c r="A306" s="149"/>
      <c r="B306" s="91"/>
      <c r="C306" s="92" t="s">
        <v>63</v>
      </c>
      <c r="D306" s="52">
        <v>2212</v>
      </c>
      <c r="E306" s="93">
        <v>5171</v>
      </c>
      <c r="F306" s="94" t="s">
        <v>66</v>
      </c>
      <c r="G306" s="2">
        <v>0</v>
      </c>
      <c r="H306" s="11">
        <v>673.48</v>
      </c>
      <c r="I306" s="1"/>
      <c r="J306" s="2">
        <f>H306+I306</f>
        <v>673.48</v>
      </c>
    </row>
    <row r="307" spans="1:10" ht="12" customHeight="1">
      <c r="A307" s="149"/>
      <c r="B307" s="84" t="s">
        <v>2</v>
      </c>
      <c r="C307" s="56" t="s">
        <v>199</v>
      </c>
      <c r="D307" s="62" t="s">
        <v>0</v>
      </c>
      <c r="E307" s="62" t="s">
        <v>0</v>
      </c>
      <c r="F307" s="63" t="s">
        <v>200</v>
      </c>
      <c r="G307" s="39">
        <f>SUM(G308:G309)</f>
        <v>0</v>
      </c>
      <c r="H307" s="8">
        <f>SUM(H308:H309)</f>
        <v>29.04</v>
      </c>
      <c r="I307" s="39">
        <f>SUM(I308:I309)</f>
        <v>0</v>
      </c>
      <c r="J307" s="39">
        <f>SUM(J308:J309)</f>
        <v>29.04</v>
      </c>
    </row>
    <row r="308" spans="1:10" ht="12" customHeight="1">
      <c r="A308" s="149"/>
      <c r="B308" s="64"/>
      <c r="C308" s="65"/>
      <c r="D308" s="53">
        <v>2212</v>
      </c>
      <c r="E308" s="88">
        <v>5169</v>
      </c>
      <c r="F308" s="18" t="s">
        <v>9</v>
      </c>
      <c r="G308" s="4">
        <v>0</v>
      </c>
      <c r="H308" s="4">
        <v>4.356</v>
      </c>
      <c r="I308" s="4"/>
      <c r="J308" s="4">
        <f>H308+I308</f>
        <v>4.356</v>
      </c>
    </row>
    <row r="309" spans="1:10" ht="12" customHeight="1" thickBot="1">
      <c r="A309" s="149"/>
      <c r="B309" s="74"/>
      <c r="C309" s="110" t="s">
        <v>63</v>
      </c>
      <c r="D309" s="53">
        <v>2212</v>
      </c>
      <c r="E309" s="88">
        <v>5169</v>
      </c>
      <c r="F309" s="18" t="s">
        <v>9</v>
      </c>
      <c r="G309" s="3">
        <v>0</v>
      </c>
      <c r="H309" s="1">
        <v>24.684</v>
      </c>
      <c r="I309" s="1"/>
      <c r="J309" s="4">
        <f>H309+I309</f>
        <v>24.684</v>
      </c>
    </row>
    <row r="310" spans="1:10" ht="12" customHeight="1">
      <c r="A310" s="149"/>
      <c r="B310" s="84" t="s">
        <v>2</v>
      </c>
      <c r="C310" s="56" t="s">
        <v>201</v>
      </c>
      <c r="D310" s="62" t="s">
        <v>0</v>
      </c>
      <c r="E310" s="62" t="s">
        <v>0</v>
      </c>
      <c r="F310" s="63" t="s">
        <v>202</v>
      </c>
      <c r="G310" s="39">
        <f>SUM(G311:G313)</f>
        <v>0</v>
      </c>
      <c r="H310" s="8">
        <f>SUM(H311:H313)</f>
        <v>1510.55</v>
      </c>
      <c r="I310" s="39">
        <f>SUM(I311:I313)</f>
        <v>0</v>
      </c>
      <c r="J310" s="39">
        <f>SUM(J311:J313)</f>
        <v>1510.55</v>
      </c>
    </row>
    <row r="311" spans="1:10" ht="12" customHeight="1">
      <c r="A311" s="149"/>
      <c r="B311" s="64"/>
      <c r="C311" s="65"/>
      <c r="D311" s="53">
        <v>2212</v>
      </c>
      <c r="E311" s="88">
        <v>5169</v>
      </c>
      <c r="F311" s="18" t="s">
        <v>9</v>
      </c>
      <c r="G311" s="4">
        <v>0</v>
      </c>
      <c r="H311" s="4">
        <v>4.356</v>
      </c>
      <c r="I311" s="4"/>
      <c r="J311" s="4">
        <f>H311+I311</f>
        <v>4.356</v>
      </c>
    </row>
    <row r="312" spans="1:10" ht="12" customHeight="1">
      <c r="A312" s="149"/>
      <c r="B312" s="115"/>
      <c r="C312" s="96" t="s">
        <v>63</v>
      </c>
      <c r="D312" s="53">
        <v>2212</v>
      </c>
      <c r="E312" s="88">
        <v>5169</v>
      </c>
      <c r="F312" s="18" t="s">
        <v>9</v>
      </c>
      <c r="G312" s="4">
        <v>0</v>
      </c>
      <c r="H312" s="4">
        <f>24.684+21.175+12.5</f>
        <v>58.359</v>
      </c>
      <c r="I312" s="4"/>
      <c r="J312" s="4">
        <f>H312+I312</f>
        <v>58.359</v>
      </c>
    </row>
    <row r="313" spans="1:10" ht="12" customHeight="1" thickBot="1">
      <c r="A313" s="149"/>
      <c r="B313" s="103"/>
      <c r="C313" s="104" t="s">
        <v>63</v>
      </c>
      <c r="D313" s="43">
        <v>2212</v>
      </c>
      <c r="E313" s="105">
        <v>5171</v>
      </c>
      <c r="F313" s="58" t="s">
        <v>66</v>
      </c>
      <c r="G313" s="1">
        <v>0</v>
      </c>
      <c r="H313" s="1">
        <v>1447.835</v>
      </c>
      <c r="I313" s="1"/>
      <c r="J313" s="1">
        <f>H313+I313</f>
        <v>1447.835</v>
      </c>
    </row>
    <row r="314" spans="1:10" ht="12" customHeight="1">
      <c r="A314" s="149"/>
      <c r="B314" s="84" t="s">
        <v>2</v>
      </c>
      <c r="C314" s="56" t="s">
        <v>203</v>
      </c>
      <c r="D314" s="62" t="s">
        <v>0</v>
      </c>
      <c r="E314" s="62" t="s">
        <v>0</v>
      </c>
      <c r="F314" s="63" t="s">
        <v>204</v>
      </c>
      <c r="G314" s="39">
        <f>SUM(G315:G317)</f>
        <v>0</v>
      </c>
      <c r="H314" s="8">
        <f>SUM(H315:H317)</f>
        <v>993.13</v>
      </c>
      <c r="I314" s="39">
        <f>SUM(I315:I317)</f>
        <v>0</v>
      </c>
      <c r="J314" s="39">
        <f>SUM(J315:J317)</f>
        <v>993.13</v>
      </c>
    </row>
    <row r="315" spans="1:10" ht="12" customHeight="1">
      <c r="A315" s="149"/>
      <c r="B315" s="64"/>
      <c r="C315" s="65"/>
      <c r="D315" s="53">
        <v>2212</v>
      </c>
      <c r="E315" s="88">
        <v>5169</v>
      </c>
      <c r="F315" s="18" t="s">
        <v>9</v>
      </c>
      <c r="G315" s="4">
        <v>0</v>
      </c>
      <c r="H315" s="4">
        <v>4.356</v>
      </c>
      <c r="I315" s="4"/>
      <c r="J315" s="4">
        <f>H315+I315</f>
        <v>4.356</v>
      </c>
    </row>
    <row r="316" spans="1:10" ht="12" customHeight="1">
      <c r="A316" s="149"/>
      <c r="B316" s="115"/>
      <c r="C316" s="96" t="s">
        <v>63</v>
      </c>
      <c r="D316" s="53">
        <v>2212</v>
      </c>
      <c r="E316" s="88">
        <v>5169</v>
      </c>
      <c r="F316" s="18" t="s">
        <v>9</v>
      </c>
      <c r="G316" s="4">
        <v>0</v>
      </c>
      <c r="H316" s="4">
        <f>24.684+21.175+12.5</f>
        <v>58.359</v>
      </c>
      <c r="I316" s="4"/>
      <c r="J316" s="4">
        <f>H316+I316</f>
        <v>58.359</v>
      </c>
    </row>
    <row r="317" spans="1:10" ht="12" customHeight="1" thickBot="1">
      <c r="A317" s="149"/>
      <c r="B317" s="103"/>
      <c r="C317" s="104" t="s">
        <v>63</v>
      </c>
      <c r="D317" s="43">
        <v>2212</v>
      </c>
      <c r="E317" s="105">
        <v>5171</v>
      </c>
      <c r="F317" s="58" t="s">
        <v>66</v>
      </c>
      <c r="G317" s="1">
        <v>0</v>
      </c>
      <c r="H317" s="1">
        <v>930.415</v>
      </c>
      <c r="I317" s="1"/>
      <c r="J317" s="2">
        <f>H317+I317</f>
        <v>930.415</v>
      </c>
    </row>
    <row r="318" spans="1:10" ht="12" customHeight="1">
      <c r="A318" s="149"/>
      <c r="B318" s="84" t="s">
        <v>2</v>
      </c>
      <c r="C318" s="56" t="s">
        <v>205</v>
      </c>
      <c r="D318" s="62" t="s">
        <v>0</v>
      </c>
      <c r="E318" s="62" t="s">
        <v>0</v>
      </c>
      <c r="F318" s="63" t="s">
        <v>206</v>
      </c>
      <c r="G318" s="39">
        <f>SUM(G319:G321)</f>
        <v>0</v>
      </c>
      <c r="H318" s="8">
        <f>SUM(H319:H321)</f>
        <v>916.0169999999999</v>
      </c>
      <c r="I318" s="39">
        <f>SUM(I319:I321)</f>
        <v>0</v>
      </c>
      <c r="J318" s="39">
        <f>SUM(J319:J321)</f>
        <v>916.0169999999999</v>
      </c>
    </row>
    <row r="319" spans="1:10" ht="12" customHeight="1">
      <c r="A319" s="149"/>
      <c r="B319" s="64"/>
      <c r="C319" s="65"/>
      <c r="D319" s="53">
        <v>2212</v>
      </c>
      <c r="E319" s="88">
        <v>5169</v>
      </c>
      <c r="F319" s="18" t="s">
        <v>9</v>
      </c>
      <c r="G319" s="4">
        <v>0</v>
      </c>
      <c r="H319" s="4">
        <v>4.356</v>
      </c>
      <c r="I319" s="4"/>
      <c r="J319" s="4">
        <f>H319+I319</f>
        <v>4.356</v>
      </c>
    </row>
    <row r="320" spans="1:10" ht="12" customHeight="1">
      <c r="A320" s="149"/>
      <c r="B320" s="64"/>
      <c r="C320" s="96" t="s">
        <v>63</v>
      </c>
      <c r="D320" s="53">
        <v>2212</v>
      </c>
      <c r="E320" s="88">
        <v>5169</v>
      </c>
      <c r="F320" s="18" t="s">
        <v>9</v>
      </c>
      <c r="G320" s="4">
        <v>0</v>
      </c>
      <c r="H320" s="4">
        <f>24.684+31.992+37.268</f>
        <v>93.944</v>
      </c>
      <c r="I320" s="4"/>
      <c r="J320" s="4">
        <f>H320+I320</f>
        <v>93.944</v>
      </c>
    </row>
    <row r="321" spans="1:10" ht="12" customHeight="1" thickBot="1">
      <c r="A321" s="149"/>
      <c r="B321" s="103"/>
      <c r="C321" s="119"/>
      <c r="D321" s="43">
        <v>2212</v>
      </c>
      <c r="E321" s="105">
        <v>5171</v>
      </c>
      <c r="F321" s="58" t="s">
        <v>66</v>
      </c>
      <c r="G321" s="1">
        <v>0</v>
      </c>
      <c r="H321" s="1">
        <v>817.717</v>
      </c>
      <c r="I321" s="1"/>
      <c r="J321" s="1">
        <f>H321+I321</f>
        <v>817.717</v>
      </c>
    </row>
    <row r="322" spans="1:10" ht="12" customHeight="1">
      <c r="A322" s="149"/>
      <c r="B322" s="84" t="s">
        <v>2</v>
      </c>
      <c r="C322" s="56" t="s">
        <v>207</v>
      </c>
      <c r="D322" s="62" t="s">
        <v>0</v>
      </c>
      <c r="E322" s="62" t="s">
        <v>0</v>
      </c>
      <c r="F322" s="63" t="s">
        <v>208</v>
      </c>
      <c r="G322" s="39">
        <f>SUM(G323:G325)</f>
        <v>0</v>
      </c>
      <c r="H322" s="8">
        <f>SUM(H323:H325)</f>
        <v>2032.162</v>
      </c>
      <c r="I322" s="141">
        <f>SUM(I323:I325)</f>
        <v>-2032.162</v>
      </c>
      <c r="J322" s="39">
        <f>SUM(J323:J325)</f>
        <v>0</v>
      </c>
    </row>
    <row r="323" spans="1:10" ht="12" customHeight="1">
      <c r="A323" s="149"/>
      <c r="B323" s="64"/>
      <c r="C323" s="65"/>
      <c r="D323" s="53">
        <v>2212</v>
      </c>
      <c r="E323" s="88">
        <v>5169</v>
      </c>
      <c r="F323" s="18" t="s">
        <v>9</v>
      </c>
      <c r="G323" s="4">
        <v>0</v>
      </c>
      <c r="H323" s="4">
        <v>4.356</v>
      </c>
      <c r="I323" s="144">
        <v>-4.356</v>
      </c>
      <c r="J323" s="4">
        <f>H323+I323</f>
        <v>0</v>
      </c>
    </row>
    <row r="324" spans="1:10" ht="12" customHeight="1">
      <c r="A324" s="149"/>
      <c r="B324" s="64"/>
      <c r="C324" s="96" t="s">
        <v>63</v>
      </c>
      <c r="D324" s="53">
        <v>2212</v>
      </c>
      <c r="E324" s="88">
        <v>5169</v>
      </c>
      <c r="F324" s="18" t="s">
        <v>9</v>
      </c>
      <c r="G324" s="4">
        <v>0</v>
      </c>
      <c r="H324" s="4">
        <f>24.684+14.822+9.377</f>
        <v>48.883</v>
      </c>
      <c r="I324" s="144">
        <f>-(24.684+14.822+9.377)</f>
        <v>-48.883</v>
      </c>
      <c r="J324" s="4">
        <f>H324+I324</f>
        <v>0</v>
      </c>
    </row>
    <row r="325" spans="1:10" ht="12" customHeight="1" thickBot="1">
      <c r="A325" s="149"/>
      <c r="B325" s="91"/>
      <c r="C325" s="92" t="s">
        <v>63</v>
      </c>
      <c r="D325" s="52">
        <v>2212</v>
      </c>
      <c r="E325" s="93">
        <v>5171</v>
      </c>
      <c r="F325" s="94" t="s">
        <v>66</v>
      </c>
      <c r="G325" s="2">
        <v>0</v>
      </c>
      <c r="H325" s="1">
        <f>3957.846/2</f>
        <v>1978.923</v>
      </c>
      <c r="I325" s="143">
        <f>-3957.846/2</f>
        <v>-1978.923</v>
      </c>
      <c r="J325" s="2">
        <f>H325+I325</f>
        <v>0</v>
      </c>
    </row>
    <row r="326" spans="1:10" ht="12" customHeight="1">
      <c r="A326" s="149"/>
      <c r="B326" s="84" t="s">
        <v>2</v>
      </c>
      <c r="C326" s="56" t="s">
        <v>209</v>
      </c>
      <c r="D326" s="62" t="s">
        <v>0</v>
      </c>
      <c r="E326" s="62" t="s">
        <v>0</v>
      </c>
      <c r="F326" s="63" t="s">
        <v>210</v>
      </c>
      <c r="G326" s="39">
        <f>SUM(G327:G329)</f>
        <v>0</v>
      </c>
      <c r="H326" s="8">
        <f>SUM(H327:H329)</f>
        <v>1501.533</v>
      </c>
      <c r="I326" s="141">
        <f>SUM(I327:I329)</f>
        <v>30.025</v>
      </c>
      <c r="J326" s="39">
        <f>SUM(J327:J329)</f>
        <v>1531.558</v>
      </c>
    </row>
    <row r="327" spans="1:10" ht="12" customHeight="1">
      <c r="A327" s="149"/>
      <c r="B327" s="64"/>
      <c r="C327" s="65"/>
      <c r="D327" s="53">
        <v>2212</v>
      </c>
      <c r="E327" s="88">
        <v>5169</v>
      </c>
      <c r="F327" s="18" t="s">
        <v>9</v>
      </c>
      <c r="G327" s="4">
        <v>0</v>
      </c>
      <c r="H327" s="4">
        <v>4.356</v>
      </c>
      <c r="I327" s="144"/>
      <c r="J327" s="4">
        <f>H327+I327</f>
        <v>4.356</v>
      </c>
    </row>
    <row r="328" spans="1:10" ht="12" customHeight="1">
      <c r="A328" s="149"/>
      <c r="B328" s="64"/>
      <c r="C328" s="96" t="s">
        <v>63</v>
      </c>
      <c r="D328" s="53">
        <v>2212</v>
      </c>
      <c r="E328" s="88">
        <v>5169</v>
      </c>
      <c r="F328" s="18" t="s">
        <v>9</v>
      </c>
      <c r="G328" s="4">
        <v>0</v>
      </c>
      <c r="H328" s="4">
        <v>24.684</v>
      </c>
      <c r="I328" s="144">
        <f>15.908+14.117</f>
        <v>30.025</v>
      </c>
      <c r="J328" s="4">
        <f>H328+I328</f>
        <v>54.709</v>
      </c>
    </row>
    <row r="329" spans="1:10" ht="12" customHeight="1" thickBot="1">
      <c r="A329" s="149"/>
      <c r="B329" s="91"/>
      <c r="C329" s="92" t="s">
        <v>63</v>
      </c>
      <c r="D329" s="52">
        <v>2212</v>
      </c>
      <c r="E329" s="93">
        <v>5171</v>
      </c>
      <c r="F329" s="94" t="s">
        <v>66</v>
      </c>
      <c r="G329" s="2">
        <v>0</v>
      </c>
      <c r="H329" s="1">
        <f>1102.234+370.259</f>
        <v>1472.493</v>
      </c>
      <c r="I329" s="144"/>
      <c r="J329" s="2">
        <f>H329+I329</f>
        <v>1472.493</v>
      </c>
    </row>
    <row r="330" spans="1:10" ht="12" customHeight="1">
      <c r="A330" s="149"/>
      <c r="B330" s="84" t="s">
        <v>2</v>
      </c>
      <c r="C330" s="56" t="s">
        <v>211</v>
      </c>
      <c r="D330" s="62" t="s">
        <v>0</v>
      </c>
      <c r="E330" s="62" t="s">
        <v>0</v>
      </c>
      <c r="F330" s="63" t="s">
        <v>212</v>
      </c>
      <c r="G330" s="39">
        <f>SUM(G331:G333)</f>
        <v>0</v>
      </c>
      <c r="H330" s="8">
        <f>SUM(H331:H333)</f>
        <v>1595.3609999999999</v>
      </c>
      <c r="I330" s="141">
        <f>SUM(I331:I333)</f>
        <v>30.025</v>
      </c>
      <c r="J330" s="39">
        <f>SUM(J331:J333)</f>
        <v>1625.386</v>
      </c>
    </row>
    <row r="331" spans="1:10" ht="12" customHeight="1">
      <c r="A331" s="149"/>
      <c r="B331" s="64"/>
      <c r="C331" s="65"/>
      <c r="D331" s="53">
        <v>2212</v>
      </c>
      <c r="E331" s="88">
        <v>5169</v>
      </c>
      <c r="F331" s="18" t="s">
        <v>9</v>
      </c>
      <c r="G331" s="4">
        <v>0</v>
      </c>
      <c r="H331" s="4">
        <v>4.356</v>
      </c>
      <c r="I331" s="144"/>
      <c r="J331" s="4">
        <f>H331+I331</f>
        <v>4.356</v>
      </c>
    </row>
    <row r="332" spans="1:10" ht="12" customHeight="1">
      <c r="A332" s="149"/>
      <c r="B332" s="115"/>
      <c r="C332" s="96" t="s">
        <v>63</v>
      </c>
      <c r="D332" s="53">
        <v>2212</v>
      </c>
      <c r="E332" s="88">
        <v>5169</v>
      </c>
      <c r="F332" s="18" t="s">
        <v>9</v>
      </c>
      <c r="G332" s="4">
        <v>0</v>
      </c>
      <c r="H332" s="4">
        <v>24.684</v>
      </c>
      <c r="I332" s="144">
        <f>15.908+14.117</f>
        <v>30.025</v>
      </c>
      <c r="J332" s="4">
        <f>H332+I332</f>
        <v>54.709</v>
      </c>
    </row>
    <row r="333" spans="1:10" ht="12" customHeight="1" thickBot="1">
      <c r="A333" s="149"/>
      <c r="B333" s="118"/>
      <c r="C333" s="92" t="s">
        <v>63</v>
      </c>
      <c r="D333" s="52">
        <v>2212</v>
      </c>
      <c r="E333" s="93">
        <v>5171</v>
      </c>
      <c r="F333" s="94" t="s">
        <v>66</v>
      </c>
      <c r="G333" s="2">
        <v>0</v>
      </c>
      <c r="H333" s="1">
        <f>1284.812+281.509</f>
        <v>1566.321</v>
      </c>
      <c r="I333" s="144"/>
      <c r="J333" s="2">
        <f>H333+I333</f>
        <v>1566.321</v>
      </c>
    </row>
    <row r="334" spans="1:10" ht="12" customHeight="1">
      <c r="A334" s="149"/>
      <c r="B334" s="84" t="s">
        <v>2</v>
      </c>
      <c r="C334" s="56" t="s">
        <v>213</v>
      </c>
      <c r="D334" s="62" t="s">
        <v>0</v>
      </c>
      <c r="E334" s="62" t="s">
        <v>0</v>
      </c>
      <c r="F334" s="63" t="s">
        <v>214</v>
      </c>
      <c r="G334" s="39">
        <f>SUM(G335:G337)</f>
        <v>0</v>
      </c>
      <c r="H334" s="8">
        <f>SUM(H335:H337)</f>
        <v>2032.162</v>
      </c>
      <c r="I334" s="141">
        <f>SUM(I335:I337)</f>
        <v>2016.03</v>
      </c>
      <c r="J334" s="39">
        <f>SUM(J335:J337)</f>
        <v>4048.192</v>
      </c>
    </row>
    <row r="335" spans="1:10" ht="12" customHeight="1">
      <c r="A335" s="149"/>
      <c r="B335" s="64"/>
      <c r="C335" s="65"/>
      <c r="D335" s="53">
        <v>2212</v>
      </c>
      <c r="E335" s="88">
        <v>5169</v>
      </c>
      <c r="F335" s="18" t="s">
        <v>9</v>
      </c>
      <c r="G335" s="4">
        <v>0</v>
      </c>
      <c r="H335" s="4">
        <f>4.356</f>
        <v>4.356</v>
      </c>
      <c r="I335" s="144">
        <v>4.356</v>
      </c>
      <c r="J335" s="4">
        <f>H335+I335</f>
        <v>8.712</v>
      </c>
    </row>
    <row r="336" spans="1:10" ht="12" customHeight="1">
      <c r="A336" s="149"/>
      <c r="B336" s="64"/>
      <c r="C336" s="96" t="s">
        <v>63</v>
      </c>
      <c r="D336" s="53">
        <v>2212</v>
      </c>
      <c r="E336" s="88">
        <v>5169</v>
      </c>
      <c r="F336" s="18" t="s">
        <v>9</v>
      </c>
      <c r="G336" s="4">
        <v>0</v>
      </c>
      <c r="H336" s="4">
        <f>24.684+14.822+9.377</f>
        <v>48.883</v>
      </c>
      <c r="I336" s="144">
        <f>24.684+4.94+3.127</f>
        <v>32.751000000000005</v>
      </c>
      <c r="J336" s="4">
        <f>H336+I336</f>
        <v>81.63400000000001</v>
      </c>
    </row>
    <row r="337" spans="1:10" ht="12" customHeight="1" thickBot="1">
      <c r="A337" s="149"/>
      <c r="B337" s="91"/>
      <c r="C337" s="92" t="s">
        <v>63</v>
      </c>
      <c r="D337" s="52">
        <v>2212</v>
      </c>
      <c r="E337" s="93">
        <v>5171</v>
      </c>
      <c r="F337" s="94" t="s">
        <v>66</v>
      </c>
      <c r="G337" s="2">
        <v>0</v>
      </c>
      <c r="H337" s="1">
        <f>3957.846/2</f>
        <v>1978.923</v>
      </c>
      <c r="I337" s="143">
        <f>3957.846/2</f>
        <v>1978.923</v>
      </c>
      <c r="J337" s="2">
        <f>H337+I337</f>
        <v>3957.846</v>
      </c>
    </row>
    <row r="338" spans="1:10" ht="12" customHeight="1">
      <c r="A338" s="149"/>
      <c r="B338" s="84" t="s">
        <v>2</v>
      </c>
      <c r="C338" s="56" t="s">
        <v>215</v>
      </c>
      <c r="D338" s="62" t="s">
        <v>0</v>
      </c>
      <c r="E338" s="62" t="s">
        <v>0</v>
      </c>
      <c r="F338" s="63" t="s">
        <v>216</v>
      </c>
      <c r="G338" s="39">
        <f>SUM(G339:G341)</f>
        <v>0</v>
      </c>
      <c r="H338" s="8">
        <f>SUM(H339:H341)</f>
        <v>2685.0570000000002</v>
      </c>
      <c r="I338" s="39">
        <f>SUM(I339:I341)</f>
        <v>0</v>
      </c>
      <c r="J338" s="39">
        <f>SUM(J339:J341)</f>
        <v>2685.0570000000002</v>
      </c>
    </row>
    <row r="339" spans="1:10" ht="12" customHeight="1">
      <c r="A339" s="149"/>
      <c r="B339" s="64"/>
      <c r="C339" s="65"/>
      <c r="D339" s="53">
        <v>2212</v>
      </c>
      <c r="E339" s="88">
        <v>5169</v>
      </c>
      <c r="F339" s="18" t="s">
        <v>9</v>
      </c>
      <c r="G339" s="4">
        <v>0</v>
      </c>
      <c r="H339" s="4">
        <v>4.356</v>
      </c>
      <c r="I339" s="4"/>
      <c r="J339" s="4">
        <f>H339+I339</f>
        <v>4.356</v>
      </c>
    </row>
    <row r="340" spans="1:10" ht="12" customHeight="1">
      <c r="A340" s="149"/>
      <c r="B340" s="64"/>
      <c r="C340" s="96" t="s">
        <v>63</v>
      </c>
      <c r="D340" s="53">
        <v>2212</v>
      </c>
      <c r="E340" s="88">
        <v>5169</v>
      </c>
      <c r="F340" s="18" t="s">
        <v>9</v>
      </c>
      <c r="G340" s="4">
        <v>0</v>
      </c>
      <c r="H340" s="4">
        <f>24.684+53.845+35.332</f>
        <v>113.86099999999999</v>
      </c>
      <c r="I340" s="4"/>
      <c r="J340" s="4">
        <f>H340+I340</f>
        <v>113.86099999999999</v>
      </c>
    </row>
    <row r="341" spans="1:10" ht="12" customHeight="1" thickBot="1">
      <c r="A341" s="149"/>
      <c r="B341" s="91"/>
      <c r="C341" s="92" t="s">
        <v>63</v>
      </c>
      <c r="D341" s="52">
        <v>2212</v>
      </c>
      <c r="E341" s="93">
        <v>5171</v>
      </c>
      <c r="F341" s="94" t="s">
        <v>66</v>
      </c>
      <c r="G341" s="2">
        <v>0</v>
      </c>
      <c r="H341" s="9">
        <v>2566.84</v>
      </c>
      <c r="I341" s="1"/>
      <c r="J341" s="2">
        <f>H341+I341</f>
        <v>2566.84</v>
      </c>
    </row>
    <row r="342" spans="1:10" ht="12" customHeight="1">
      <c r="A342" s="149"/>
      <c r="B342" s="84" t="s">
        <v>2</v>
      </c>
      <c r="C342" s="56" t="s">
        <v>217</v>
      </c>
      <c r="D342" s="62" t="s">
        <v>0</v>
      </c>
      <c r="E342" s="62" t="s">
        <v>0</v>
      </c>
      <c r="F342" s="63" t="s">
        <v>218</v>
      </c>
      <c r="G342" s="39">
        <f>SUM(G343:G345)</f>
        <v>0</v>
      </c>
      <c r="H342" s="8">
        <f>SUM(H343:H345)</f>
        <v>1558.127</v>
      </c>
      <c r="I342" s="39">
        <f>SUM(I343:I345)</f>
        <v>0</v>
      </c>
      <c r="J342" s="39">
        <f>SUM(J343:J345)</f>
        <v>1558.127</v>
      </c>
    </row>
    <row r="343" spans="1:10" ht="12" customHeight="1">
      <c r="A343" s="149"/>
      <c r="B343" s="64"/>
      <c r="C343" s="65"/>
      <c r="D343" s="53">
        <v>2212</v>
      </c>
      <c r="E343" s="88">
        <v>5169</v>
      </c>
      <c r="F343" s="18" t="s">
        <v>9</v>
      </c>
      <c r="G343" s="4">
        <v>0</v>
      </c>
      <c r="H343" s="4">
        <v>4.356</v>
      </c>
      <c r="I343" s="4"/>
      <c r="J343" s="4">
        <f>H343+I343</f>
        <v>4.356</v>
      </c>
    </row>
    <row r="344" spans="1:10" ht="12" customHeight="1">
      <c r="A344" s="149"/>
      <c r="B344" s="64"/>
      <c r="C344" s="96" t="s">
        <v>63</v>
      </c>
      <c r="D344" s="53">
        <v>2212</v>
      </c>
      <c r="E344" s="88">
        <v>5169</v>
      </c>
      <c r="F344" s="18" t="s">
        <v>9</v>
      </c>
      <c r="G344" s="4">
        <v>0</v>
      </c>
      <c r="H344" s="4">
        <f>24.684+26.923+19.844</f>
        <v>71.451</v>
      </c>
      <c r="I344" s="4"/>
      <c r="J344" s="4">
        <f>H344+I344</f>
        <v>71.451</v>
      </c>
    </row>
    <row r="345" spans="1:10" ht="12" customHeight="1" thickBot="1">
      <c r="A345" s="149"/>
      <c r="B345" s="103"/>
      <c r="C345" s="104" t="s">
        <v>63</v>
      </c>
      <c r="D345" s="43">
        <v>2212</v>
      </c>
      <c r="E345" s="105">
        <v>5171</v>
      </c>
      <c r="F345" s="58" t="s">
        <v>66</v>
      </c>
      <c r="G345" s="1">
        <v>0</v>
      </c>
      <c r="H345" s="11">
        <v>1482.32</v>
      </c>
      <c r="I345" s="1"/>
      <c r="J345" s="1">
        <f>H345+I345</f>
        <v>1482.32</v>
      </c>
    </row>
    <row r="346" spans="1:10" ht="12" customHeight="1">
      <c r="A346" s="149"/>
      <c r="B346" s="84" t="s">
        <v>2</v>
      </c>
      <c r="C346" s="56" t="s">
        <v>219</v>
      </c>
      <c r="D346" s="62" t="s">
        <v>0</v>
      </c>
      <c r="E346" s="62" t="s">
        <v>0</v>
      </c>
      <c r="F346" s="63" t="s">
        <v>220</v>
      </c>
      <c r="G346" s="39">
        <f>SUM(G347:G349)</f>
        <v>0</v>
      </c>
      <c r="H346" s="8">
        <f>SUM(H347:H349)</f>
        <v>893.3169999999999</v>
      </c>
      <c r="I346" s="39">
        <f>SUM(I347:I349)</f>
        <v>0</v>
      </c>
      <c r="J346" s="39">
        <f>SUM(J347:J349)</f>
        <v>893.3169999999999</v>
      </c>
    </row>
    <row r="347" spans="1:10" ht="12" customHeight="1">
      <c r="A347" s="149"/>
      <c r="B347" s="64"/>
      <c r="C347" s="65"/>
      <c r="D347" s="53">
        <v>2212</v>
      </c>
      <c r="E347" s="88">
        <v>5169</v>
      </c>
      <c r="F347" s="18" t="s">
        <v>9</v>
      </c>
      <c r="G347" s="4">
        <v>0</v>
      </c>
      <c r="H347" s="4">
        <v>9.892</v>
      </c>
      <c r="I347" s="4"/>
      <c r="J347" s="4">
        <f>H347+I347</f>
        <v>9.892</v>
      </c>
    </row>
    <row r="348" spans="1:10" ht="12" customHeight="1">
      <c r="A348" s="149"/>
      <c r="B348" s="64"/>
      <c r="C348" s="96" t="s">
        <v>63</v>
      </c>
      <c r="D348" s="53">
        <v>2212</v>
      </c>
      <c r="E348" s="88">
        <v>5169</v>
      </c>
      <c r="F348" s="18" t="s">
        <v>9</v>
      </c>
      <c r="G348" s="4">
        <v>0</v>
      </c>
      <c r="H348" s="4">
        <f>56.053+24.2+10.285</f>
        <v>90.538</v>
      </c>
      <c r="I348" s="4"/>
      <c r="J348" s="4">
        <f>H348+I348</f>
        <v>90.538</v>
      </c>
    </row>
    <row r="349" spans="1:10" ht="12" customHeight="1" thickBot="1">
      <c r="A349" s="149"/>
      <c r="B349" s="91"/>
      <c r="C349" s="92" t="s">
        <v>63</v>
      </c>
      <c r="D349" s="52">
        <v>2212</v>
      </c>
      <c r="E349" s="93">
        <v>5171</v>
      </c>
      <c r="F349" s="94" t="s">
        <v>66</v>
      </c>
      <c r="G349" s="2">
        <v>0</v>
      </c>
      <c r="H349" s="1">
        <v>792.887</v>
      </c>
      <c r="I349" s="1"/>
      <c r="J349" s="2">
        <f>H349+I349</f>
        <v>792.887</v>
      </c>
    </row>
    <row r="350" spans="1:10" ht="12" customHeight="1">
      <c r="A350" s="149"/>
      <c r="B350" s="84" t="s">
        <v>2</v>
      </c>
      <c r="C350" s="56" t="s">
        <v>221</v>
      </c>
      <c r="D350" s="62" t="s">
        <v>0</v>
      </c>
      <c r="E350" s="62" t="s">
        <v>0</v>
      </c>
      <c r="F350" s="63" t="s">
        <v>222</v>
      </c>
      <c r="G350" s="39">
        <f>SUM(G351:G352)</f>
        <v>0</v>
      </c>
      <c r="H350" s="8">
        <f>SUM(H351:H352)</f>
        <v>71.995</v>
      </c>
      <c r="I350" s="39">
        <f>SUM(I351:I352)</f>
        <v>0</v>
      </c>
      <c r="J350" s="39">
        <f>SUM(J351:J352)</f>
        <v>71.995</v>
      </c>
    </row>
    <row r="351" spans="1:10" ht="12" customHeight="1">
      <c r="A351" s="149"/>
      <c r="B351" s="64"/>
      <c r="C351" s="65"/>
      <c r="D351" s="53">
        <v>2212</v>
      </c>
      <c r="E351" s="88">
        <v>5169</v>
      </c>
      <c r="F351" s="18" t="s">
        <v>9</v>
      </c>
      <c r="G351" s="4">
        <v>0</v>
      </c>
      <c r="H351" s="4">
        <v>10.7995</v>
      </c>
      <c r="I351" s="4"/>
      <c r="J351" s="4">
        <f>H351+I351</f>
        <v>10.7995</v>
      </c>
    </row>
    <row r="352" spans="1:10" ht="12" customHeight="1" thickBot="1">
      <c r="A352" s="149"/>
      <c r="B352" s="74"/>
      <c r="C352" s="104" t="s">
        <v>63</v>
      </c>
      <c r="D352" s="43">
        <v>2212</v>
      </c>
      <c r="E352" s="105">
        <v>5169</v>
      </c>
      <c r="F352" s="19" t="s">
        <v>9</v>
      </c>
      <c r="G352" s="1">
        <v>0</v>
      </c>
      <c r="H352" s="1">
        <v>61.1955</v>
      </c>
      <c r="I352" s="1"/>
      <c r="J352" s="1">
        <f>H352+I352</f>
        <v>61.1955</v>
      </c>
    </row>
    <row r="353" spans="1:10" ht="12" customHeight="1">
      <c r="A353" s="149"/>
      <c r="B353" s="84" t="s">
        <v>2</v>
      </c>
      <c r="C353" s="56" t="s">
        <v>223</v>
      </c>
      <c r="D353" s="62" t="s">
        <v>0</v>
      </c>
      <c r="E353" s="62" t="s">
        <v>0</v>
      </c>
      <c r="F353" s="63" t="s">
        <v>224</v>
      </c>
      <c r="G353" s="39">
        <f>SUM(G354:G356)</f>
        <v>0</v>
      </c>
      <c r="H353" s="8">
        <f>SUM(H354:H356)</f>
        <v>8587.447</v>
      </c>
      <c r="I353" s="39">
        <f>SUM(I354:I356)</f>
        <v>0</v>
      </c>
      <c r="J353" s="39">
        <f>SUM(J354:J356)</f>
        <v>8587.447</v>
      </c>
    </row>
    <row r="354" spans="1:10" ht="12" customHeight="1">
      <c r="A354" s="149"/>
      <c r="B354" s="64"/>
      <c r="C354" s="65"/>
      <c r="D354" s="53">
        <v>2212</v>
      </c>
      <c r="E354" s="88">
        <v>5169</v>
      </c>
      <c r="F354" s="18" t="s">
        <v>9</v>
      </c>
      <c r="G354" s="4">
        <v>0</v>
      </c>
      <c r="H354" s="4">
        <v>9.892</v>
      </c>
      <c r="I354" s="4"/>
      <c r="J354" s="4">
        <f>H354+I354</f>
        <v>9.892</v>
      </c>
    </row>
    <row r="355" spans="1:10" ht="12" customHeight="1">
      <c r="A355" s="149"/>
      <c r="B355" s="64"/>
      <c r="C355" s="96" t="s">
        <v>63</v>
      </c>
      <c r="D355" s="53">
        <v>2212</v>
      </c>
      <c r="E355" s="88">
        <v>5169</v>
      </c>
      <c r="F355" s="18" t="s">
        <v>9</v>
      </c>
      <c r="G355" s="4">
        <v>0</v>
      </c>
      <c r="H355" s="4">
        <f>56.053+49.61+33.856</f>
        <v>139.519</v>
      </c>
      <c r="I355" s="4"/>
      <c r="J355" s="4">
        <f>H355+I355</f>
        <v>139.519</v>
      </c>
    </row>
    <row r="356" spans="1:10" ht="12" customHeight="1" thickBot="1">
      <c r="A356" s="149"/>
      <c r="B356" s="91"/>
      <c r="C356" s="92" t="s">
        <v>63</v>
      </c>
      <c r="D356" s="43">
        <v>2212</v>
      </c>
      <c r="E356" s="105">
        <v>5171</v>
      </c>
      <c r="F356" s="58" t="s">
        <v>66</v>
      </c>
      <c r="G356" s="2">
        <v>0</v>
      </c>
      <c r="H356" s="1">
        <f>7448.471+989.565</f>
        <v>8438.036</v>
      </c>
      <c r="I356" s="4"/>
      <c r="J356" s="1">
        <f>H356+I356</f>
        <v>8438.036</v>
      </c>
    </row>
    <row r="357" spans="1:10" ht="12" customHeight="1">
      <c r="A357" s="149"/>
      <c r="B357" s="84" t="s">
        <v>2</v>
      </c>
      <c r="C357" s="56" t="s">
        <v>225</v>
      </c>
      <c r="D357" s="62" t="s">
        <v>0</v>
      </c>
      <c r="E357" s="62" t="s">
        <v>0</v>
      </c>
      <c r="F357" s="63" t="s">
        <v>226</v>
      </c>
      <c r="G357" s="39">
        <f>SUM(G358:G360)</f>
        <v>0</v>
      </c>
      <c r="H357" s="8">
        <f>SUM(H358:H360)</f>
        <v>1967.881</v>
      </c>
      <c r="I357" s="39">
        <f>SUM(I358:I360)</f>
        <v>0</v>
      </c>
      <c r="J357" s="39">
        <f>SUM(J358:J360)</f>
        <v>1967.881</v>
      </c>
    </row>
    <row r="358" spans="1:10" ht="12" customHeight="1">
      <c r="A358" s="149"/>
      <c r="B358" s="64"/>
      <c r="C358" s="65"/>
      <c r="D358" s="53">
        <v>2212</v>
      </c>
      <c r="E358" s="88">
        <v>5169</v>
      </c>
      <c r="F358" s="18" t="s">
        <v>9</v>
      </c>
      <c r="G358" s="4">
        <v>0</v>
      </c>
      <c r="H358" s="4">
        <v>9.892</v>
      </c>
      <c r="I358" s="4"/>
      <c r="J358" s="4">
        <f>H358+I358</f>
        <v>9.892</v>
      </c>
    </row>
    <row r="359" spans="1:10" ht="12" customHeight="1">
      <c r="A359" s="149"/>
      <c r="B359" s="64"/>
      <c r="C359" s="96" t="s">
        <v>63</v>
      </c>
      <c r="D359" s="53">
        <v>2212</v>
      </c>
      <c r="E359" s="88">
        <v>5169</v>
      </c>
      <c r="F359" s="18" t="s">
        <v>9</v>
      </c>
      <c r="G359" s="4">
        <v>0</v>
      </c>
      <c r="H359" s="4">
        <f>56.053+24.2+10.285</f>
        <v>90.538</v>
      </c>
      <c r="I359" s="4"/>
      <c r="J359" s="4">
        <f>H359+I359</f>
        <v>90.538</v>
      </c>
    </row>
    <row r="360" spans="1:10" ht="12" customHeight="1" thickBot="1">
      <c r="A360" s="149"/>
      <c r="B360" s="91"/>
      <c r="C360" s="92" t="s">
        <v>63</v>
      </c>
      <c r="D360" s="52">
        <v>2212</v>
      </c>
      <c r="E360" s="93">
        <v>5171</v>
      </c>
      <c r="F360" s="94" t="s">
        <v>66</v>
      </c>
      <c r="G360" s="2">
        <v>0</v>
      </c>
      <c r="H360" s="1">
        <v>1867.451</v>
      </c>
      <c r="I360" s="1"/>
      <c r="J360" s="2">
        <f>H360+I360</f>
        <v>1867.451</v>
      </c>
    </row>
    <row r="361" spans="1:10" ht="12" customHeight="1">
      <c r="A361" s="149"/>
      <c r="B361" s="84" t="s">
        <v>2</v>
      </c>
      <c r="C361" s="56" t="s">
        <v>227</v>
      </c>
      <c r="D361" s="62" t="s">
        <v>0</v>
      </c>
      <c r="E361" s="62" t="s">
        <v>0</v>
      </c>
      <c r="F361" s="63" t="s">
        <v>228</v>
      </c>
      <c r="G361" s="39">
        <f>SUM(G362:G364)</f>
        <v>0</v>
      </c>
      <c r="H361" s="8">
        <f>SUM(H362:H364)</f>
        <v>2009.527</v>
      </c>
      <c r="I361" s="39">
        <f>SUM(I362:I364)</f>
        <v>0</v>
      </c>
      <c r="J361" s="39">
        <f>SUM(J362:J364)</f>
        <v>2009.527</v>
      </c>
    </row>
    <row r="362" spans="1:10" ht="12" customHeight="1">
      <c r="A362" s="149"/>
      <c r="B362" s="64"/>
      <c r="C362" s="65"/>
      <c r="D362" s="53">
        <v>2212</v>
      </c>
      <c r="E362" s="88">
        <v>5169</v>
      </c>
      <c r="F362" s="18" t="s">
        <v>9</v>
      </c>
      <c r="G362" s="4">
        <v>0</v>
      </c>
      <c r="H362" s="4">
        <v>8.9845</v>
      </c>
      <c r="I362" s="4"/>
      <c r="J362" s="4">
        <f>H362+I362</f>
        <v>8.9845</v>
      </c>
    </row>
    <row r="363" spans="1:10" ht="12" customHeight="1">
      <c r="A363" s="149"/>
      <c r="B363" s="64"/>
      <c r="C363" s="96" t="s">
        <v>63</v>
      </c>
      <c r="D363" s="53">
        <v>2212</v>
      </c>
      <c r="E363" s="88">
        <v>5169</v>
      </c>
      <c r="F363" s="18" t="s">
        <v>9</v>
      </c>
      <c r="G363" s="4">
        <v>0</v>
      </c>
      <c r="H363" s="4">
        <f>50.9105+33.033+27.612</f>
        <v>111.5555</v>
      </c>
      <c r="I363" s="4"/>
      <c r="J363" s="4">
        <f>H363+I363</f>
        <v>111.5555</v>
      </c>
    </row>
    <row r="364" spans="1:10" ht="12" customHeight="1" thickBot="1">
      <c r="A364" s="149"/>
      <c r="B364" s="91"/>
      <c r="C364" s="92" t="s">
        <v>63</v>
      </c>
      <c r="D364" s="52">
        <v>2212</v>
      </c>
      <c r="E364" s="93">
        <v>5171</v>
      </c>
      <c r="F364" s="94" t="s">
        <v>66</v>
      </c>
      <c r="G364" s="2">
        <v>0</v>
      </c>
      <c r="H364" s="1">
        <v>1888.987</v>
      </c>
      <c r="I364" s="1"/>
      <c r="J364" s="2">
        <f>H364+I364</f>
        <v>1888.987</v>
      </c>
    </row>
    <row r="365" spans="1:10" ht="12" customHeight="1">
      <c r="A365" s="149"/>
      <c r="B365" s="84" t="s">
        <v>2</v>
      </c>
      <c r="C365" s="120" t="s">
        <v>229</v>
      </c>
      <c r="D365" s="62" t="s">
        <v>0</v>
      </c>
      <c r="E365" s="62" t="s">
        <v>0</v>
      </c>
      <c r="F365" s="63" t="s">
        <v>230</v>
      </c>
      <c r="G365" s="39">
        <f>SUM(G366:G367)</f>
        <v>0</v>
      </c>
      <c r="H365" s="8">
        <f>SUM(H366:H367)</f>
        <v>4373.151</v>
      </c>
      <c r="I365" s="39">
        <f>SUM(I366:I367)</f>
        <v>0</v>
      </c>
      <c r="J365" s="39">
        <f>SUM(J366:J367)</f>
        <v>4373.151</v>
      </c>
    </row>
    <row r="366" spans="1:10" ht="12" customHeight="1">
      <c r="A366" s="149"/>
      <c r="B366" s="64"/>
      <c r="C366" s="96" t="s">
        <v>63</v>
      </c>
      <c r="D366" s="53">
        <v>2212</v>
      </c>
      <c r="E366" s="88">
        <v>5169</v>
      </c>
      <c r="F366" s="18" t="s">
        <v>9</v>
      </c>
      <c r="G366" s="4">
        <v>0</v>
      </c>
      <c r="H366" s="9">
        <f>123.42+62.92</f>
        <v>186.34</v>
      </c>
      <c r="I366" s="4"/>
      <c r="J366" s="4">
        <f>H366+I366</f>
        <v>186.34</v>
      </c>
    </row>
    <row r="367" spans="1:10" ht="12" customHeight="1" thickBot="1">
      <c r="A367" s="149"/>
      <c r="B367" s="74"/>
      <c r="C367" s="119"/>
      <c r="D367" s="43">
        <v>2212</v>
      </c>
      <c r="E367" s="105">
        <v>5171</v>
      </c>
      <c r="F367" s="58" t="s">
        <v>66</v>
      </c>
      <c r="G367" s="1">
        <v>0</v>
      </c>
      <c r="H367" s="1">
        <f>4186.811*0.15-511.6785+0.00035+(4186.811*0.85+511.6785-0.00035)</f>
        <v>4186.811</v>
      </c>
      <c r="I367" s="1"/>
      <c r="J367" s="1">
        <f>H367+I367</f>
        <v>4186.811</v>
      </c>
    </row>
    <row r="368" spans="1:10" ht="12" customHeight="1">
      <c r="A368" s="149"/>
      <c r="B368" s="84" t="s">
        <v>2</v>
      </c>
      <c r="C368" s="120" t="s">
        <v>231</v>
      </c>
      <c r="D368" s="13" t="s">
        <v>0</v>
      </c>
      <c r="E368" s="13" t="s">
        <v>0</v>
      </c>
      <c r="F368" s="14" t="s">
        <v>232</v>
      </c>
      <c r="G368" s="39">
        <f>SUM(G369:G370)</f>
        <v>0</v>
      </c>
      <c r="H368" s="8">
        <f>SUM(H369:H370)</f>
        <v>1443.0649999999998</v>
      </c>
      <c r="I368" s="39">
        <f>SUM(I369:I370)</f>
        <v>0</v>
      </c>
      <c r="J368" s="39">
        <f>SUM(J369:J370)</f>
        <v>1443.0649999999998</v>
      </c>
    </row>
    <row r="369" spans="1:10" ht="12" customHeight="1">
      <c r="A369" s="149"/>
      <c r="B369" s="64"/>
      <c r="C369" s="121" t="s">
        <v>63</v>
      </c>
      <c r="D369" s="107">
        <v>2212</v>
      </c>
      <c r="E369" s="122">
        <v>5169</v>
      </c>
      <c r="F369" s="123" t="s">
        <v>9</v>
      </c>
      <c r="G369" s="4">
        <v>0</v>
      </c>
      <c r="H369" s="10">
        <f>34.243+20</f>
        <v>54.243</v>
      </c>
      <c r="I369" s="10"/>
      <c r="J369" s="4">
        <f>H369+I369</f>
        <v>54.243</v>
      </c>
    </row>
    <row r="370" spans="1:10" ht="12" customHeight="1" thickBot="1">
      <c r="A370" s="149"/>
      <c r="B370" s="74"/>
      <c r="C370" s="124" t="s">
        <v>63</v>
      </c>
      <c r="D370" s="125">
        <v>2212</v>
      </c>
      <c r="E370" s="126">
        <v>5171</v>
      </c>
      <c r="F370" s="127" t="s">
        <v>66</v>
      </c>
      <c r="G370" s="1">
        <v>0</v>
      </c>
      <c r="H370" s="12">
        <v>1388.822</v>
      </c>
      <c r="I370" s="12"/>
      <c r="J370" s="1">
        <f>H370+I370</f>
        <v>1388.822</v>
      </c>
    </row>
    <row r="371" spans="1:10" ht="12" customHeight="1" thickBot="1">
      <c r="A371" s="149"/>
      <c r="B371" s="128" t="s">
        <v>7</v>
      </c>
      <c r="C371" s="129" t="s">
        <v>0</v>
      </c>
      <c r="D371" s="130" t="s">
        <v>0</v>
      </c>
      <c r="E371" s="79" t="s">
        <v>0</v>
      </c>
      <c r="F371" s="131" t="s">
        <v>233</v>
      </c>
      <c r="G371" s="132">
        <f>G372</f>
        <v>0</v>
      </c>
      <c r="H371" s="132">
        <f>H372</f>
        <v>598.534</v>
      </c>
      <c r="I371" s="132">
        <f>I372</f>
        <v>0</v>
      </c>
      <c r="J371" s="132">
        <f>J372</f>
        <v>598.534</v>
      </c>
    </row>
    <row r="372" spans="1:10" ht="12.75">
      <c r="A372" s="149"/>
      <c r="B372" s="133" t="s">
        <v>7</v>
      </c>
      <c r="C372" s="120" t="s">
        <v>234</v>
      </c>
      <c r="D372" s="13" t="s">
        <v>0</v>
      </c>
      <c r="E372" s="13" t="s">
        <v>0</v>
      </c>
      <c r="F372" s="14" t="s">
        <v>235</v>
      </c>
      <c r="G372" s="8">
        <f>SUM(G373:G373)</f>
        <v>0</v>
      </c>
      <c r="H372" s="8">
        <f>SUM(H373:H373)</f>
        <v>598.534</v>
      </c>
      <c r="I372" s="8">
        <f>SUM(I373:I373)</f>
        <v>0</v>
      </c>
      <c r="J372" s="8">
        <f>SUM(J373:J373)</f>
        <v>598.534</v>
      </c>
    </row>
    <row r="373" spans="1:10" ht="13.5" thickBot="1">
      <c r="A373" s="150"/>
      <c r="B373" s="134"/>
      <c r="C373" s="124" t="s">
        <v>63</v>
      </c>
      <c r="D373" s="135">
        <v>2212</v>
      </c>
      <c r="E373" s="136">
        <v>5171</v>
      </c>
      <c r="F373" s="137" t="s">
        <v>66</v>
      </c>
      <c r="G373" s="12">
        <v>0</v>
      </c>
      <c r="H373" s="12">
        <v>598.534</v>
      </c>
      <c r="I373" s="12"/>
      <c r="J373" s="1">
        <f>H373+I373</f>
        <v>598.534</v>
      </c>
    </row>
  </sheetData>
  <sheetProtection/>
  <mergeCells count="12">
    <mergeCell ref="D5:D6"/>
    <mergeCell ref="E5:E6"/>
    <mergeCell ref="A8:A373"/>
    <mergeCell ref="F5:F6"/>
    <mergeCell ref="G5:G6"/>
    <mergeCell ref="H5:H6"/>
    <mergeCell ref="A1:J1"/>
    <mergeCell ref="A3:J3"/>
    <mergeCell ref="I5:J5"/>
    <mergeCell ref="A5:A6"/>
    <mergeCell ref="B5:B6"/>
    <mergeCell ref="C5:C6"/>
  </mergeCells>
  <printOptions horizontalCentered="1"/>
  <pageMargins left="0.11811023622047245" right="0.11811023622047245" top="0.5905511811023623" bottom="0.5905511811023623" header="0" footer="0"/>
  <pageSetup horizontalDpi="600" verticalDpi="600" orientation="portrait" paperSize="9" scale="95" r:id="rId1"/>
  <headerFooter>
    <oddHeader>&amp;R&amp;F</oddHeader>
    <oddFooter>&amp;C&amp;A</oddFooter>
  </headerFooter>
  <rowBreaks count="3" manualBreakCount="3">
    <brk id="56" max="255" man="1"/>
    <brk id="249" max="255" man="1"/>
    <brk id="3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2014-12-05T08:56:58Z</cp:lastPrinted>
  <dcterms:created xsi:type="dcterms:W3CDTF">2006-09-25T08:49:57Z</dcterms:created>
  <dcterms:modified xsi:type="dcterms:W3CDTF">2014-12-05T14:26:22Z</dcterms:modified>
  <cp:category/>
  <cp:version/>
  <cp:contentType/>
  <cp:contentStatus/>
</cp:coreProperties>
</file>