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92006" sheetId="2" r:id="rId2"/>
    <sheet name="92306" sheetId="3" r:id="rId3"/>
  </sheets>
  <definedNames>
    <definedName name="_xlnm.Print_Titles" localSheetId="2">'92306'!$5:$6</definedName>
  </definedNames>
  <calcPr fullCalcOnLoad="1"/>
</workbook>
</file>

<file path=xl/sharedStrings.xml><?xml version="1.0" encoding="utf-8"?>
<sst xmlns="http://schemas.openxmlformats.org/spreadsheetml/2006/main" count="1481" uniqueCount="452">
  <si>
    <t>Úprava</t>
  </si>
  <si>
    <t>Pol.</t>
  </si>
  <si>
    <t>x</t>
  </si>
  <si>
    <t>uk.</t>
  </si>
  <si>
    <t>SU</t>
  </si>
  <si>
    <t>č.a.</t>
  </si>
  <si>
    <t>§</t>
  </si>
  <si>
    <t>pol.</t>
  </si>
  <si>
    <t>změna</t>
  </si>
  <si>
    <t>06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</si>
  <si>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</si>
  <si>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</si>
  <si>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</si>
  <si>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</si>
  <si>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</si>
  <si>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</si>
  <si>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</si>
  <si>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</si>
  <si>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</si>
  <si>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</si>
  <si>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</si>
  <si>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</si>
  <si>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</si>
  <si>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</si>
  <si>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</si>
  <si>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</si>
  <si>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</si>
  <si>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</si>
  <si>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</si>
  <si>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</si>
  <si>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</si>
  <si>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výdajů</t>
  </si>
  <si>
    <t>nákup ostatních služeb</t>
  </si>
  <si>
    <t>pohoštění</t>
  </si>
  <si>
    <t>nákup materiálu</t>
  </si>
  <si>
    <t>investiční transfery zřízeným příspěvkovým organizacím</t>
  </si>
  <si>
    <t>tis.Kč</t>
  </si>
  <si>
    <t>ÚZ</t>
  </si>
  <si>
    <t>S P O L U F I N A N C O V Á N Í   E U</t>
  </si>
  <si>
    <t>běžné a kapitálové výdaje resortu celkem</t>
  </si>
  <si>
    <t>ROP</t>
  </si>
  <si>
    <t>služby peněžních ústavů</t>
  </si>
  <si>
    <t>0650420000</t>
  </si>
  <si>
    <t>ROP - III/28724 Malá Skála - Frýdštejn</t>
  </si>
  <si>
    <t>38185501</t>
  </si>
  <si>
    <t>38585505</t>
  </si>
  <si>
    <t>00000000</t>
  </si>
  <si>
    <t>vypořádání minulých let mezi RRRS a krajem</t>
  </si>
  <si>
    <t>0650440000</t>
  </si>
  <si>
    <t>0650450000</t>
  </si>
  <si>
    <t>ROP - III/2921, 2922 vč. 2 mostů, Pelechov - Záhoří - Semily</t>
  </si>
  <si>
    <t>0650470000</t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</si>
  <si>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</si>
  <si>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</si>
  <si>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</si>
  <si>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</si>
  <si>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</si>
  <si>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</si>
  <si>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</si>
  <si>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ROP - II/270 Mimoň-humanizace průtahu a OK Tyršovo náměstí</t>
  </si>
  <si>
    <t>0659000000</t>
  </si>
  <si>
    <t>Vratky úroků RRRS z předfinancování 3. výzvy ROP</t>
  </si>
  <si>
    <t>ostatní neinvestiční výdaje jinde nezařazené</t>
  </si>
  <si>
    <t>OP PS pro cíl EÚS</t>
  </si>
  <si>
    <t>41117883</t>
  </si>
  <si>
    <t>41595823</t>
  </si>
  <si>
    <t>41100000</t>
  </si>
  <si>
    <t>41117007</t>
  </si>
  <si>
    <t>cestovné</t>
  </si>
  <si>
    <t>0650570000</t>
  </si>
  <si>
    <t>úhrady sankcí jiným rozpočtům</t>
  </si>
  <si>
    <t>ROP - přeložka komunikace II/592 Chrastava - II.etapa</t>
  </si>
  <si>
    <t>0650441601</t>
  </si>
  <si>
    <r>
      <t>ROP - III/2784 Liberec, přestavba křižovatky Č. mládeže - 2. etapa</t>
    </r>
  </si>
  <si>
    <t>0650580000</t>
  </si>
  <si>
    <t>ROP IV. výzva - silnice III/27017 Krompach - státní hranice</t>
  </si>
  <si>
    <t>92306 - Spolufinancování EU</t>
  </si>
  <si>
    <t>Bilance příjmů</t>
  </si>
  <si>
    <t>Ukazatel  (tis.Kč)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</si>
  <si>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</si>
  <si>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</si>
  <si>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</si>
  <si>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</si>
  <si>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</si>
  <si>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</si>
  <si>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</si>
  <si>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</si>
  <si>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</si>
  <si>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</si>
  <si>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</si>
  <si>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</si>
  <si>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</si>
  <si>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</si>
  <si>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resortní úč.neinv.dot.</t>
  </si>
  <si>
    <t xml:space="preserve">   neinv. dotace od obcí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</si>
  <si>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</si>
  <si>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</si>
  <si>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</si>
  <si>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</si>
  <si>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>P ř í j m y   celkem</t>
  </si>
  <si>
    <t>1-4xxx</t>
  </si>
  <si>
    <t>C/ F i n a n c o v á n í</t>
  </si>
  <si>
    <t>8xxx</t>
  </si>
  <si>
    <t>8115</t>
  </si>
  <si>
    <t>4. úvěr</t>
  </si>
  <si>
    <t>81xx</t>
  </si>
  <si>
    <t>5. uhrazené splátky krátkod.půjč.</t>
  </si>
  <si>
    <t xml:space="preserve">Z d r o j e  L K   c e l k e m </t>
  </si>
  <si>
    <t>Rozpis výdajů kapitoly 923 - odbor dopravy</t>
  </si>
  <si>
    <t>správce rozpočtových výdajů = odbor dopravy</t>
  </si>
  <si>
    <t>41500000</t>
  </si>
  <si>
    <t xml:space="preserve">   neinv. dotace ze zahraničí</t>
  </si>
  <si>
    <t>415x</t>
  </si>
  <si>
    <t xml:space="preserve">    investiční dotace ze zahraničí</t>
  </si>
  <si>
    <t>ZDROJOVÁ  A VÝDAJOVÁ ČÁST ROZPOČTU LK 2014</t>
  </si>
  <si>
    <t>SR 2014</t>
  </si>
  <si>
    <t>UR I 2014</t>
  </si>
  <si>
    <t>UR II 2014</t>
  </si>
  <si>
    <t>1. Zapojení fondů z r. 2013</t>
  </si>
  <si>
    <t>2. Zapojení  zvl.účtů z r. 2013</t>
  </si>
  <si>
    <t>3. Zapojení výsl. hosp.2013</t>
  </si>
  <si>
    <t>Kap.917-transfery</t>
  </si>
  <si>
    <t>Kap.926-dotační fond</t>
  </si>
  <si>
    <t>0650030000</t>
  </si>
  <si>
    <t xml:space="preserve">ROP - III/592 Chrastava-přeložka z centra </t>
  </si>
  <si>
    <t>budovy, haly a stavby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</si>
  <si>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</si>
  <si>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</si>
  <si>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</si>
  <si>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</si>
  <si>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</si>
  <si>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</si>
  <si>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</si>
  <si>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</si>
  <si>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</si>
  <si>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</si>
  <si>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</si>
  <si>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</si>
  <si>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</si>
  <si>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</si>
  <si>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</si>
  <si>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</si>
  <si>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</si>
  <si>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</si>
  <si>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</si>
  <si>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</si>
  <si>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</si>
  <si>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</si>
  <si>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</si>
  <si>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</si>
  <si>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</si>
  <si>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</si>
  <si>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IROP (2014 - 2020) - rekonstrukce silnic II. a III. třídy - PD</t>
  </si>
  <si>
    <t>0650731601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</si>
  <si>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</si>
  <si>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</si>
  <si>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</si>
  <si>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</si>
  <si>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</si>
  <si>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0650740000</t>
  </si>
  <si>
    <t>OP EU - III/2719 Hrádek n. N. - Oldřichov na Hranicích - PD</t>
  </si>
  <si>
    <t>0650750000</t>
  </si>
  <si>
    <t>OP EU - III/27110 Oldřichov na Hranicích - PD</t>
  </si>
  <si>
    <t>0650760000</t>
  </si>
  <si>
    <t>OP EU - II/273 úsek hranice kraje - Okna - PD</t>
  </si>
  <si>
    <t>0650770000</t>
  </si>
  <si>
    <t>OP EU - II/263 Heřmanice - PD</t>
  </si>
  <si>
    <t>0650780000</t>
  </si>
  <si>
    <t>OP EU - II/282 Loktuše - Loučky - PD</t>
  </si>
  <si>
    <t>0650790000</t>
  </si>
  <si>
    <t>OP EU - II/286 Dolní Mísečky - PD</t>
  </si>
  <si>
    <t>0650800000</t>
  </si>
  <si>
    <t>OP EU - II/288 Podbozkov - Cimbál - PD</t>
  </si>
  <si>
    <t>0650810000</t>
  </si>
  <si>
    <t>OP EU - III/29011 Ludvíkov - nové Město p. Smrkem - PD</t>
  </si>
  <si>
    <t>0650820000</t>
  </si>
  <si>
    <t>OP EU - III/29013 a III/29015 Raspenava - Hajniště - PD</t>
  </si>
  <si>
    <t>0650830000</t>
  </si>
  <si>
    <t>OP EU - III/03520 Dlouhý Most - Javorník - PD</t>
  </si>
  <si>
    <t>0650840000</t>
  </si>
  <si>
    <t>OP EU - II/270 Doksy - Mimoň - PD</t>
  </si>
  <si>
    <t>0650850000</t>
  </si>
  <si>
    <t>OP EU - III/26318 od I/13 - Polevsko - PD</t>
  </si>
  <si>
    <t>0650860000</t>
  </si>
  <si>
    <t>OP EU - III/26317 Prysk - křižovatka s III/26318 - PD</t>
  </si>
  <si>
    <t>0650870000</t>
  </si>
  <si>
    <t>OP EU - III/27019, úsek od křiž. s I/13 po křiž. s III/27014 - PD</t>
  </si>
  <si>
    <t>0650880000</t>
  </si>
  <si>
    <t>OP EU - III/27019, úsek od křiž. s III/27014 po křiž. s II/270 - PD</t>
  </si>
  <si>
    <t>0650890000</t>
  </si>
  <si>
    <t>OP EU - II/270 úsek od mostu 270-014 po křiž. s III/27019 - PD</t>
  </si>
  <si>
    <t>0650900000</t>
  </si>
  <si>
    <t>OP EU - II/270 úsek od úrov. přejezdu po křiž. s I/13 - PD</t>
  </si>
  <si>
    <t>0650910000</t>
  </si>
  <si>
    <t>OP EU - II/270 úsek od křiž. s III/27019 po úrov. přejezd - PD</t>
  </si>
  <si>
    <t>0650920000</t>
  </si>
  <si>
    <t>OP EU - III/27015 Jablonné v Podještědí - PD</t>
  </si>
  <si>
    <t>0650930000</t>
  </si>
  <si>
    <t>OP EU - III/28721 Malá Skála - Sněhov - PD</t>
  </si>
  <si>
    <t>0650940000</t>
  </si>
  <si>
    <t>OP EU - III/28115 Troskovice (Krčák, Vidlák) - PD</t>
  </si>
  <si>
    <t>0650950000</t>
  </si>
  <si>
    <t>OP EU - III/28116 Borek - Troskovice - PD</t>
  </si>
  <si>
    <t>0650960000</t>
  </si>
  <si>
    <t>OP EU - III/28115 hranice LB kraje - Troskovice - PD</t>
  </si>
  <si>
    <t>0650970000</t>
  </si>
  <si>
    <t>OP EU - III/2892 Semily - Bítouchov - PD</t>
  </si>
  <si>
    <t>0650980000</t>
  </si>
  <si>
    <t>OP EU - III/2923 Chuchelna - PD</t>
  </si>
  <si>
    <t>0650990000</t>
  </si>
  <si>
    <t>OP EU - III/29022 Josefův Důl - PD</t>
  </si>
  <si>
    <t>0651000000</t>
  </si>
  <si>
    <t>OP EU - III/29022 Bedřichov - Hrabětice - PD</t>
  </si>
  <si>
    <t>0651010000</t>
  </si>
  <si>
    <t>OP EU - III/29022 Hrabětice - Josefův Důl - PD</t>
  </si>
  <si>
    <t>0651020000</t>
  </si>
  <si>
    <t>OP EU - III/28043 Lomnice nad Popelkou - Rváčov - Bítouchov - PD</t>
  </si>
  <si>
    <t>0651030000</t>
  </si>
  <si>
    <t>OP EU - III/28611 Ploužnice – Žďár u Kumburku - PD</t>
  </si>
  <si>
    <t>0650710000</t>
  </si>
  <si>
    <t>Cíl 3 – ČR-PL (2014 – 2020) - rekonstrukce silnic II. a III. třídy</t>
  </si>
  <si>
    <t>0651040000</t>
  </si>
  <si>
    <t>Cíl 3 – Od zámku Frýdlant k zámku Czocha – PD</t>
  </si>
  <si>
    <t>0651050000</t>
  </si>
  <si>
    <t>OP EU - III/28743, III/28744 a III/28745 Zásada - Držkov - PD</t>
  </si>
  <si>
    <t>0651060000</t>
  </si>
  <si>
    <t>OP EU - III/25935 hranice kraje LB - hranice kraje SČ - PD</t>
  </si>
  <si>
    <t>0651070000</t>
  </si>
  <si>
    <t>OP EU - Projektový manažer (supervize) při přípravě PD - Západ</t>
  </si>
  <si>
    <t>0651080000</t>
  </si>
  <si>
    <t>OP EU - Projektový manažer (supervize) při přípravě PD - Východ</t>
  </si>
  <si>
    <r>
      <t xml:space="preserve">Cíl 3 - LUBAHN   </t>
    </r>
    <r>
      <rPr>
        <b/>
        <sz val="8"/>
        <rFont val="Arial CE"/>
        <family val="0"/>
      </rPr>
      <t xml:space="preserve">(402/11/ZK - 25.10.2011 - </t>
    </r>
    <r>
      <rPr>
        <b/>
        <sz val="8"/>
        <rFont val="Symbol"/>
        <family val="1"/>
      </rPr>
      <t>SS</t>
    </r>
    <r>
      <rPr>
        <b/>
        <sz val="8"/>
        <rFont val="Arial CE"/>
        <family val="0"/>
      </rPr>
      <t xml:space="preserve"> 20 000 €)</t>
    </r>
  </si>
  <si>
    <t>Rozpis výdajů kapitoly 920</t>
  </si>
  <si>
    <t>92006 - Kapitálové výdaje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</si>
  <si>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</si>
  <si>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</si>
  <si>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</si>
  <si>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</si>
  <si>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</si>
  <si>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</si>
  <si>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</si>
  <si>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0681760000</t>
  </si>
  <si>
    <t>Most přes Valteřický potok ve Valteřicích ev.č. 2634-1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</si>
  <si>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</si>
  <si>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</si>
  <si>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</si>
  <si>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</si>
  <si>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</si>
  <si>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</si>
  <si>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</si>
  <si>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(UZ 17789)</t>
  </si>
  <si>
    <t>stavba nebo rekonstrukce silnice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</si>
  <si>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</si>
  <si>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</si>
  <si>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</si>
  <si>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</si>
  <si>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</si>
  <si>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</si>
  <si>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</si>
  <si>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</si>
  <si>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</si>
  <si>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</si>
  <si>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</si>
  <si>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</si>
  <si>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</si>
  <si>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</si>
  <si>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</si>
  <si>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</si>
  <si>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</si>
  <si>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</si>
  <si>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</si>
  <si>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</si>
  <si>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0690741601</t>
  </si>
  <si>
    <t>KSS LK - projektová dokumentace - povodňové škody 2013</t>
  </si>
  <si>
    <t>neinvestiční transfery zřízeným příspěvkovým organizacím</t>
  </si>
  <si>
    <t>Povodně 2013 - SFDI</t>
  </si>
  <si>
    <t>0682280000</t>
  </si>
  <si>
    <t>opravy silnic II. a III. tříd včetně opěrných zdí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</si>
  <si>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</si>
  <si>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</si>
  <si>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</si>
  <si>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</si>
  <si>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</si>
  <si>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</si>
  <si>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</si>
  <si>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</si>
  <si>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</si>
  <si>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</si>
  <si>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</si>
  <si>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</si>
  <si>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</si>
  <si>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</si>
  <si>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</si>
  <si>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</si>
  <si>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</si>
  <si>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</si>
  <si>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</si>
  <si>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</si>
  <si>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</si>
  <si>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</si>
  <si>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</si>
  <si>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</si>
  <si>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</si>
  <si>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</si>
  <si>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</si>
  <si>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</si>
  <si>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</si>
  <si>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</si>
  <si>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</si>
  <si>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</si>
  <si>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</si>
  <si>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</si>
  <si>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</si>
  <si>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</si>
  <si>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</si>
  <si>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</si>
  <si>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</si>
  <si>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</si>
  <si>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</si>
  <si>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</si>
  <si>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</si>
  <si>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</si>
  <si>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</si>
  <si>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</si>
  <si>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</si>
  <si>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</si>
  <si>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</si>
  <si>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</si>
  <si>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</si>
  <si>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</si>
  <si>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</si>
  <si>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</si>
  <si>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</si>
  <si>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</si>
  <si>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</si>
  <si>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</si>
  <si>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</si>
  <si>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</si>
  <si>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</si>
  <si>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</si>
  <si>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</si>
  <si>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</si>
  <si>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</si>
  <si>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</si>
  <si>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</si>
  <si>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</si>
  <si>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</si>
  <si>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</si>
  <si>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</si>
  <si>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</si>
  <si>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</si>
  <si>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</si>
  <si>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</si>
  <si>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</si>
  <si>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</si>
  <si>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</si>
  <si>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</si>
  <si>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</si>
  <si>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</si>
  <si>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</si>
  <si>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</si>
  <si>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</si>
  <si>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</si>
  <si>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</si>
  <si>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</si>
  <si>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</si>
  <si>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</si>
  <si>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</si>
  <si>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</si>
  <si>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</si>
  <si>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</si>
  <si>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</si>
  <si>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</si>
  <si>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</si>
  <si>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</si>
  <si>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</si>
  <si>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</si>
  <si>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</si>
  <si>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</si>
  <si>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</si>
  <si>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</si>
  <si>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</si>
  <si>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</si>
  <si>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</si>
  <si>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</si>
  <si>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</si>
  <si>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</si>
  <si>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</si>
  <si>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</si>
  <si>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</si>
  <si>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</si>
  <si>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</si>
  <si>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</si>
  <si>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</si>
  <si>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</si>
  <si>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</si>
  <si>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</si>
  <si>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</si>
  <si>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</si>
  <si>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</si>
  <si>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</si>
  <si>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</si>
  <si>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</si>
  <si>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</si>
  <si>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</si>
  <si>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</si>
  <si>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</si>
  <si>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</si>
  <si>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</si>
  <si>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</si>
  <si>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</si>
  <si>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</si>
  <si>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</si>
  <si>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</si>
  <si>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</si>
  <si>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</si>
  <si>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</si>
  <si>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</si>
  <si>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</si>
  <si>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</si>
  <si>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</si>
  <si>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</si>
  <si>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</si>
  <si>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</si>
  <si>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</si>
  <si>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</si>
  <si>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</si>
  <si>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</si>
  <si>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</si>
  <si>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</si>
  <si>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</si>
  <si>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</si>
  <si>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</si>
  <si>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</si>
  <si>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</si>
  <si>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</si>
  <si>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</si>
  <si>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</si>
  <si>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</si>
  <si>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</si>
  <si>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</si>
  <si>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</si>
  <si>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</si>
  <si>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</si>
  <si>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0683140000</t>
  </si>
  <si>
    <t>III/26834 Velký Grunov, havárie nábřežní zdi</t>
  </si>
  <si>
    <t>0683150000</t>
  </si>
  <si>
    <t>III/29021 Liberec, ul. Horská, havárie opěrné zdi</t>
  </si>
  <si>
    <t>0651090000</t>
  </si>
  <si>
    <t>15.změna-RO č. 204/14</t>
  </si>
  <si>
    <t>19.změna-RO č. 204/14</t>
  </si>
  <si>
    <t>OP EU - zpracování projektových žádostí ROP 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</si>
</sst>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  <numFmt numFmtId="179" formatCode="#,##0.00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Symbol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92">
    <xf numFmtId="0" fontId="0" fillId="0" borderId="0" xfId="0" applyAlignment="1">
      <alignment/>
    </xf>
    <xf numFmtId="4" fontId="25" fillId="0" borderId="10" xfId="0" applyNumberFormat="1" applyFont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right" vertical="center" wrapText="1"/>
    </xf>
    <xf numFmtId="4" fontId="25" fillId="0" borderId="21" xfId="0" applyNumberFormat="1" applyFont="1" applyBorder="1" applyAlignment="1">
      <alignment horizontal="right" vertical="center" wrapText="1"/>
    </xf>
    <xf numFmtId="4" fontId="25" fillId="0" borderId="22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20" xfId="0" applyNumberFormat="1" applyFont="1" applyBorder="1" applyAlignment="1">
      <alignment horizontal="right" vertical="center" wrapText="1"/>
    </xf>
    <xf numFmtId="0" fontId="31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49" fontId="32" fillId="0" borderId="0" xfId="50" applyNumberFormat="1" applyFont="1" applyBorder="1" applyAlignment="1">
      <alignment vertical="center" textRotation="90"/>
      <protection/>
    </xf>
    <xf numFmtId="0" fontId="5" fillId="0" borderId="0" xfId="54" applyFont="1" applyBorder="1" applyAlignment="1">
      <alignment vertical="center"/>
      <protection/>
    </xf>
    <xf numFmtId="0" fontId="4" fillId="0" borderId="23" xfId="0" applyFont="1" applyBorder="1" applyAlignment="1">
      <alignment horizontal="center" vertical="center"/>
    </xf>
    <xf numFmtId="0" fontId="35" fillId="0" borderId="24" xfId="48" applyFont="1" applyFill="1" applyBorder="1" applyAlignment="1">
      <alignment vertical="center"/>
      <protection/>
    </xf>
    <xf numFmtId="0" fontId="34" fillId="0" borderId="14" xfId="48" applyFont="1" applyBorder="1" applyAlignment="1">
      <alignment vertical="center"/>
      <protection/>
    </xf>
    <xf numFmtId="0" fontId="35" fillId="0" borderId="25" xfId="48" applyFont="1" applyFill="1" applyBorder="1" applyAlignment="1">
      <alignment vertical="center"/>
      <protection/>
    </xf>
    <xf numFmtId="0" fontId="29" fillId="0" borderId="17" xfId="48" applyFont="1" applyFill="1" applyBorder="1" applyAlignment="1">
      <alignment vertical="center" wrapText="1"/>
      <protection/>
    </xf>
    <xf numFmtId="0" fontId="29" fillId="0" borderId="26" xfId="48" applyFont="1" applyFill="1" applyBorder="1" applyAlignment="1">
      <alignment vertical="center" wrapText="1"/>
      <protection/>
    </xf>
    <xf numFmtId="0" fontId="29" fillId="0" borderId="27" xfId="48" applyFont="1" applyFill="1" applyBorder="1" applyAlignment="1">
      <alignment vertical="center" wrapText="1"/>
      <protection/>
    </xf>
    <xf numFmtId="0" fontId="35" fillId="0" borderId="17" xfId="48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horizontal="right" vertical="center" wrapText="1"/>
    </xf>
    <xf numFmtId="4" fontId="24" fillId="0" borderId="32" xfId="0" applyNumberFormat="1" applyFont="1" applyBorder="1" applyAlignment="1">
      <alignment horizontal="right" vertical="center" wrapText="1"/>
    </xf>
    <xf numFmtId="4" fontId="24" fillId="0" borderId="33" xfId="0" applyNumberFormat="1" applyFont="1" applyBorder="1" applyAlignment="1">
      <alignment horizontal="right" vertical="center" wrapText="1"/>
    </xf>
    <xf numFmtId="4" fontId="24" fillId="0" borderId="25" xfId="0" applyNumberFormat="1" applyFont="1" applyBorder="1" applyAlignment="1">
      <alignment horizontal="right" vertical="center" wrapText="1"/>
    </xf>
    <xf numFmtId="0" fontId="25" fillId="0" borderId="34" xfId="0" applyFont="1" applyBorder="1" applyAlignment="1">
      <alignment vertical="center" wrapText="1"/>
    </xf>
    <xf numFmtId="0" fontId="25" fillId="0" borderId="35" xfId="0" applyFont="1" applyBorder="1" applyAlignment="1">
      <alignment horizontal="right" vertical="center" wrapText="1"/>
    </xf>
    <xf numFmtId="4" fontId="25" fillId="0" borderId="36" xfId="0" applyNumberFormat="1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4" fillId="0" borderId="34" xfId="0" applyFont="1" applyBorder="1" applyAlignment="1">
      <alignment vertical="center" wrapText="1"/>
    </xf>
    <xf numFmtId="4" fontId="24" fillId="0" borderId="34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27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vertical="center" wrapText="1"/>
    </xf>
    <xf numFmtId="4" fontId="25" fillId="0" borderId="34" xfId="0" applyNumberFormat="1" applyFont="1" applyBorder="1" applyAlignment="1">
      <alignment horizontal="right" vertical="center" wrapText="1"/>
    </xf>
    <xf numFmtId="0" fontId="24" fillId="0" borderId="35" xfId="0" applyFont="1" applyBorder="1" applyAlignment="1">
      <alignment horizontal="right" vertical="center" wrapText="1"/>
    </xf>
    <xf numFmtId="4" fontId="24" fillId="0" borderId="37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horizontal="right" vertical="center" wrapText="1"/>
    </xf>
    <xf numFmtId="4" fontId="24" fillId="0" borderId="28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9" fillId="0" borderId="38" xfId="48" applyFont="1" applyFill="1" applyBorder="1" applyAlignment="1">
      <alignment vertical="center"/>
      <protection/>
    </xf>
    <xf numFmtId="0" fontId="29" fillId="0" borderId="39" xfId="48" applyFont="1" applyFill="1" applyBorder="1" applyAlignment="1">
      <alignment vertical="center"/>
      <protection/>
    </xf>
    <xf numFmtId="4" fontId="24" fillId="0" borderId="10" xfId="0" applyNumberFormat="1" applyFont="1" applyBorder="1" applyAlignment="1">
      <alignment horizontal="right" vertical="center" wrapText="1"/>
    </xf>
    <xf numFmtId="171" fontId="3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vertical="center"/>
      <protection/>
    </xf>
    <xf numFmtId="175" fontId="1" fillId="0" borderId="0" xfId="54" applyNumberFormat="1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left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49" fontId="4" fillId="0" borderId="13" xfId="52" applyNumberFormat="1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4" fontId="4" fillId="0" borderId="29" xfId="52" applyNumberFormat="1" applyFont="1" applyFill="1" applyBorder="1" applyAlignment="1">
      <alignment vertical="center"/>
      <protection/>
    </xf>
    <xf numFmtId="0" fontId="33" fillId="0" borderId="40" xfId="52" applyFont="1" applyBorder="1" applyAlignment="1">
      <alignment horizontal="center" vertical="center"/>
      <protection/>
    </xf>
    <xf numFmtId="49" fontId="33" fillId="0" borderId="12" xfId="52" applyNumberFormat="1" applyFont="1" applyBorder="1" applyAlignment="1">
      <alignment horizontal="center" vertical="center"/>
      <protection/>
    </xf>
    <xf numFmtId="0" fontId="33" fillId="0" borderId="12" xfId="52" applyFont="1" applyBorder="1" applyAlignment="1">
      <alignment horizontal="center" vertical="center"/>
      <protection/>
    </xf>
    <xf numFmtId="0" fontId="33" fillId="0" borderId="12" xfId="52" applyFont="1" applyBorder="1" applyAlignment="1">
      <alignment horizontal="center" vertical="center"/>
      <protection/>
    </xf>
    <xf numFmtId="49" fontId="33" fillId="0" borderId="13" xfId="52" applyNumberFormat="1" applyFont="1" applyBorder="1" applyAlignment="1">
      <alignment horizontal="center" vertical="center"/>
      <protection/>
    </xf>
    <xf numFmtId="4" fontId="33" fillId="0" borderId="28" xfId="52" applyNumberFormat="1" applyFont="1" applyFill="1" applyBorder="1" applyAlignment="1">
      <alignment vertical="center"/>
      <protection/>
    </xf>
    <xf numFmtId="4" fontId="33" fillId="0" borderId="29" xfId="52" applyNumberFormat="1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horizontal="center" vertical="center"/>
      <protection/>
    </xf>
    <xf numFmtId="49" fontId="6" fillId="0" borderId="33" xfId="52" applyNumberFormat="1" applyFont="1" applyFill="1" applyBorder="1" applyAlignment="1">
      <alignment horizontal="center" vertical="center"/>
      <protection/>
    </xf>
    <xf numFmtId="0" fontId="6" fillId="0" borderId="33" xfId="52" applyFont="1" applyBorder="1" applyAlignment="1">
      <alignment horizontal="center" vertical="center"/>
      <protection/>
    </xf>
    <xf numFmtId="0" fontId="6" fillId="0" borderId="33" xfId="52" applyFont="1" applyBorder="1" applyAlignment="1">
      <alignment horizontal="center" vertical="center"/>
      <protection/>
    </xf>
    <xf numFmtId="49" fontId="6" fillId="0" borderId="24" xfId="52" applyNumberFormat="1" applyFont="1" applyBorder="1" applyAlignment="1">
      <alignment horizontal="center" vertical="center"/>
      <protection/>
    </xf>
    <xf numFmtId="4" fontId="6" fillId="0" borderId="42" xfId="52" applyNumberFormat="1" applyFont="1" applyFill="1" applyBorder="1" applyAlignment="1">
      <alignment vertical="center"/>
      <protection/>
    </xf>
    <xf numFmtId="4" fontId="6" fillId="0" borderId="43" xfId="52" applyNumberFormat="1" applyFont="1" applyFill="1" applyBorder="1" applyAlignment="1">
      <alignment vertical="center"/>
      <protection/>
    </xf>
    <xf numFmtId="0" fontId="1" fillId="0" borderId="44" xfId="52" applyFont="1" applyFill="1" applyBorder="1" applyAlignment="1">
      <alignment horizontal="center" vertical="center"/>
      <protection/>
    </xf>
    <xf numFmtId="49" fontId="1" fillId="0" borderId="32" xfId="54" applyNumberFormat="1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0" fontId="1" fillId="0" borderId="16" xfId="52" applyFont="1" applyFill="1" applyBorder="1" applyAlignment="1">
      <alignment horizontal="center"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0" fontId="29" fillId="0" borderId="32" xfId="48" applyFont="1" applyFill="1" applyBorder="1" applyAlignment="1">
      <alignment vertical="center" wrapText="1"/>
      <protection/>
    </xf>
    <xf numFmtId="4" fontId="1" fillId="0" borderId="31" xfId="52" applyNumberFormat="1" applyFont="1" applyFill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4" fontId="1" fillId="0" borderId="31" xfId="54" applyNumberFormat="1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center" vertical="center"/>
      <protection/>
    </xf>
    <xf numFmtId="0" fontId="6" fillId="0" borderId="33" xfId="52" applyFont="1" applyFill="1" applyBorder="1" applyAlignment="1">
      <alignment horizontal="center" vertical="center"/>
      <protection/>
    </xf>
    <xf numFmtId="49" fontId="6" fillId="0" borderId="24" xfId="52" applyNumberFormat="1" applyFont="1" applyFill="1" applyBorder="1" applyAlignment="1">
      <alignment horizontal="center" vertical="center"/>
      <protection/>
    </xf>
    <xf numFmtId="0" fontId="33" fillId="0" borderId="45" xfId="52" applyFont="1" applyFill="1" applyBorder="1" applyAlignment="1">
      <alignment horizontal="center" vertic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4" fontId="1" fillId="0" borderId="35" xfId="52" applyNumberFormat="1" applyFont="1" applyFill="1" applyBorder="1" applyAlignment="1">
      <alignment vertical="center"/>
      <protection/>
    </xf>
    <xf numFmtId="4" fontId="37" fillId="24" borderId="36" xfId="52" applyNumberFormat="1" applyFont="1" applyFill="1" applyBorder="1" applyAlignment="1">
      <alignment vertical="center"/>
      <protection/>
    </xf>
    <xf numFmtId="4" fontId="37" fillId="24" borderId="35" xfId="52" applyNumberFormat="1" applyFont="1" applyFill="1" applyBorder="1" applyAlignment="1">
      <alignment vertical="center"/>
      <protection/>
    </xf>
    <xf numFmtId="4" fontId="1" fillId="0" borderId="35" xfId="54" applyNumberFormat="1" applyFont="1" applyFill="1" applyBorder="1" applyAlignment="1">
      <alignment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49" fontId="1" fillId="0" borderId="48" xfId="52" applyNumberFormat="1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49" fontId="1" fillId="0" borderId="38" xfId="52" applyNumberFormat="1" applyFont="1" applyFill="1" applyBorder="1" applyAlignment="1">
      <alignment horizontal="center" vertical="center"/>
      <protection/>
    </xf>
    <xf numFmtId="4" fontId="1" fillId="0" borderId="49" xfId="52" applyNumberFormat="1" applyFont="1" applyFill="1" applyBorder="1" applyAlignment="1">
      <alignment vertical="center"/>
      <protection/>
    </xf>
    <xf numFmtId="4" fontId="1" fillId="0" borderId="50" xfId="52" applyNumberFormat="1" applyFont="1" applyFill="1" applyBorder="1" applyAlignment="1">
      <alignment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1" fillId="0" borderId="34" xfId="52" applyNumberFormat="1" applyFont="1" applyFill="1" applyBorder="1" applyAlignment="1">
      <alignment vertical="center"/>
      <protection/>
    </xf>
    <xf numFmtId="4" fontId="37" fillId="0" borderId="34" xfId="52" applyNumberFormat="1" applyFont="1" applyFill="1" applyBorder="1" applyAlignment="1">
      <alignment vertical="center"/>
      <protection/>
    </xf>
    <xf numFmtId="4" fontId="37" fillId="0" borderId="35" xfId="52" applyNumberFormat="1" applyFont="1" applyFill="1" applyBorder="1" applyAlignment="1">
      <alignment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4" fontId="37" fillId="0" borderId="35" xfId="53" applyNumberFormat="1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49" fontId="6" fillId="0" borderId="52" xfId="52" applyNumberFormat="1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horizontal="center" vertical="center"/>
      <protection/>
    </xf>
    <xf numFmtId="49" fontId="1" fillId="0" borderId="53" xfId="52" applyNumberFormat="1" applyFont="1" applyFill="1" applyBorder="1" applyAlignment="1">
      <alignment horizontal="center" vertical="center"/>
      <protection/>
    </xf>
    <xf numFmtId="4" fontId="1" fillId="0" borderId="30" xfId="52" applyNumberFormat="1" applyFont="1" applyFill="1" applyBorder="1" applyAlignment="1">
      <alignment vertical="center"/>
      <protection/>
    </xf>
    <xf numFmtId="4" fontId="37" fillId="0" borderId="31" xfId="53" applyNumberFormat="1" applyFont="1" applyFill="1" applyBorder="1" applyAlignment="1">
      <alignment vertical="center"/>
      <protection/>
    </xf>
    <xf numFmtId="4" fontId="1" fillId="0" borderId="37" xfId="53" applyNumberFormat="1" applyFont="1" applyFill="1" applyBorder="1" applyAlignment="1">
      <alignment vertical="center"/>
      <protection/>
    </xf>
    <xf numFmtId="4" fontId="1" fillId="24" borderId="36" xfId="52" applyNumberFormat="1" applyFont="1" applyFill="1" applyBorder="1" applyAlignment="1">
      <alignment vertical="center"/>
      <protection/>
    </xf>
    <xf numFmtId="4" fontId="1" fillId="24" borderId="35" xfId="52" applyNumberFormat="1" applyFont="1" applyFill="1" applyBorder="1" applyAlignment="1">
      <alignment vertical="center"/>
      <protection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32" xfId="52" applyFont="1" applyBorder="1" applyAlignment="1">
      <alignment vertical="center"/>
      <protection/>
    </xf>
    <xf numFmtId="4" fontId="37" fillId="24" borderId="34" xfId="52" applyNumberFormat="1" applyFont="1" applyFill="1" applyBorder="1" applyAlignment="1">
      <alignment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36" xfId="52" applyFont="1" applyBorder="1" applyAlignment="1">
      <alignment vertical="center"/>
      <protection/>
    </xf>
    <xf numFmtId="0" fontId="1" fillId="0" borderId="10" xfId="52" applyFont="1" applyBorder="1" applyAlignment="1">
      <alignment horizontal="center" vertical="center"/>
      <protection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32" xfId="52" applyFont="1" applyFill="1" applyBorder="1" applyAlignment="1">
      <alignment horizontal="center"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4" fontId="37" fillId="0" borderId="49" xfId="53" applyNumberFormat="1" applyFont="1" applyFill="1" applyBorder="1" applyAlignment="1">
      <alignment vertical="center"/>
      <protection/>
    </xf>
    <xf numFmtId="0" fontId="6" fillId="0" borderId="54" xfId="52" applyFont="1" applyFill="1" applyBorder="1" applyAlignment="1">
      <alignment horizontal="center"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49" fontId="5" fillId="0" borderId="52" xfId="52" applyNumberFormat="1" applyFont="1" applyFill="1" applyBorder="1" applyAlignment="1">
      <alignment horizontal="center" vertical="center"/>
      <protection/>
    </xf>
    <xf numFmtId="0" fontId="1" fillId="0" borderId="53" xfId="52" applyFont="1" applyFill="1" applyBorder="1" applyAlignment="1">
      <alignment horizontal="center" vertical="center"/>
      <protection/>
    </xf>
    <xf numFmtId="0" fontId="29" fillId="0" borderId="39" xfId="48" applyFont="1" applyFill="1" applyBorder="1" applyAlignment="1">
      <alignment vertical="center" wrapText="1"/>
      <protection/>
    </xf>
    <xf numFmtId="4" fontId="37" fillId="0" borderId="49" xfId="52" applyNumberFormat="1" applyFont="1" applyFill="1" applyBorder="1" applyAlignment="1">
      <alignment vertical="center"/>
      <protection/>
    </xf>
    <xf numFmtId="4" fontId="1" fillId="0" borderId="49" xfId="54" applyNumberFormat="1" applyFont="1" applyFill="1" applyBorder="1" applyAlignment="1">
      <alignment vertical="center"/>
      <protection/>
    </xf>
    <xf numFmtId="0" fontId="6" fillId="0" borderId="46" xfId="52" applyFont="1" applyFill="1" applyBorder="1" applyAlignment="1">
      <alignment horizontal="center" vertical="center"/>
      <protection/>
    </xf>
    <xf numFmtId="49" fontId="6" fillId="0" borderId="16" xfId="52" applyNumberFormat="1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49" fontId="6" fillId="0" borderId="32" xfId="52" applyNumberFormat="1" applyFont="1" applyFill="1" applyBorder="1" applyAlignment="1">
      <alignment horizontal="center" vertical="center"/>
      <protection/>
    </xf>
    <xf numFmtId="4" fontId="6" fillId="0" borderId="30" xfId="52" applyNumberFormat="1" applyFont="1" applyFill="1" applyBorder="1" applyAlignment="1">
      <alignment vertical="center"/>
      <protection/>
    </xf>
    <xf numFmtId="4" fontId="6" fillId="0" borderId="31" xfId="52" applyNumberFormat="1" applyFont="1" applyFill="1" applyBorder="1" applyAlignment="1">
      <alignment vertical="center"/>
      <protection/>
    </xf>
    <xf numFmtId="0" fontId="35" fillId="0" borderId="25" xfId="48" applyFont="1" applyFill="1" applyBorder="1" applyAlignment="1">
      <alignment vertical="center" wrapText="1"/>
      <protection/>
    </xf>
    <xf numFmtId="171" fontId="37" fillId="24" borderId="35" xfId="52" applyNumberFormat="1" applyFont="1" applyFill="1" applyBorder="1" applyAlignment="1">
      <alignment vertical="center"/>
      <protection/>
    </xf>
    <xf numFmtId="0" fontId="33" fillId="0" borderId="18" xfId="52" applyFont="1" applyFill="1" applyBorder="1" applyAlignment="1">
      <alignment horizontal="center" vertical="center"/>
      <protection/>
    </xf>
    <xf numFmtId="4" fontId="37" fillId="0" borderId="31" xfId="52" applyNumberFormat="1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horizontal="center" vertical="center"/>
      <protection/>
    </xf>
    <xf numFmtId="0" fontId="1" fillId="0" borderId="55" xfId="52" applyFon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5" fillId="0" borderId="48" xfId="52" applyNumberFormat="1" applyFont="1" applyFill="1" applyBorder="1" applyAlignment="1">
      <alignment horizontal="center" vertical="center"/>
      <protection/>
    </xf>
    <xf numFmtId="49" fontId="1" fillId="0" borderId="48" xfId="54" applyNumberFormat="1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left" vertical="center" wrapText="1"/>
      <protection/>
    </xf>
    <xf numFmtId="4" fontId="37" fillId="24" borderId="49" xfId="52" applyNumberFormat="1" applyFont="1" applyFill="1" applyBorder="1" applyAlignment="1">
      <alignment vertical="center"/>
      <protection/>
    </xf>
    <xf numFmtId="0" fontId="6" fillId="0" borderId="54" xfId="52" applyFont="1" applyFill="1" applyBorder="1" applyAlignment="1">
      <alignment vertical="center"/>
      <protection/>
    </xf>
    <xf numFmtId="0" fontId="35" fillId="0" borderId="25" xfId="49" applyFont="1" applyFill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" fillId="0" borderId="18" xfId="52" applyFont="1" applyFill="1" applyBorder="1" applyAlignment="1">
      <alignment vertical="center"/>
      <protection/>
    </xf>
    <xf numFmtId="0" fontId="29" fillId="0" borderId="27" xfId="49" applyFont="1" applyFill="1" applyBorder="1" applyAlignment="1">
      <alignment vertical="center" wrapText="1"/>
      <protection/>
    </xf>
    <xf numFmtId="0" fontId="1" fillId="0" borderId="56" xfId="52" applyFont="1" applyFill="1" applyBorder="1" applyAlignment="1">
      <alignment horizontal="center" vertical="center"/>
      <protection/>
    </xf>
    <xf numFmtId="49" fontId="1" fillId="0" borderId="52" xfId="52" applyNumberFormat="1" applyFont="1" applyFill="1" applyBorder="1" applyAlignment="1">
      <alignment horizontal="center" vertical="center"/>
      <protection/>
    </xf>
    <xf numFmtId="49" fontId="1" fillId="0" borderId="53" xfId="52" applyNumberFormat="1" applyFont="1" applyFill="1" applyBorder="1" applyAlignment="1">
      <alignment horizontal="center"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" fontId="1" fillId="0" borderId="57" xfId="54" applyNumberFormat="1" applyFont="1" applyFill="1" applyBorder="1" applyAlignment="1">
      <alignment vertical="center"/>
      <protection/>
    </xf>
    <xf numFmtId="0" fontId="1" fillId="0" borderId="15" xfId="52" applyFont="1" applyFill="1" applyBorder="1" applyAlignment="1">
      <alignment vertical="center"/>
      <protection/>
    </xf>
    <xf numFmtId="0" fontId="29" fillId="0" borderId="17" xfId="49" applyFont="1" applyFill="1" applyBorder="1" applyAlignment="1">
      <alignment vertical="center" wrapText="1"/>
      <protection/>
    </xf>
    <xf numFmtId="4" fontId="0" fillId="0" borderId="0" xfId="52" applyNumberFormat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35" fillId="0" borderId="17" xfId="49" applyFont="1" applyFill="1" applyBorder="1" applyAlignment="1">
      <alignment vertical="center"/>
      <protection/>
    </xf>
    <xf numFmtId="0" fontId="1" fillId="0" borderId="55" xfId="52" applyFont="1" applyFill="1" applyBorder="1" applyAlignment="1">
      <alignment vertical="center"/>
      <protection/>
    </xf>
    <xf numFmtId="2" fontId="1" fillId="0" borderId="38" xfId="52" applyNumberFormat="1" applyFont="1" applyFill="1" applyBorder="1" applyAlignment="1">
      <alignment horizontal="left" vertical="center"/>
      <protection/>
    </xf>
    <xf numFmtId="0" fontId="1" fillId="0" borderId="56" xfId="52" applyFont="1" applyFill="1" applyBorder="1" applyAlignment="1">
      <alignment vertical="center"/>
      <protection/>
    </xf>
    <xf numFmtId="0" fontId="1" fillId="0" borderId="27" xfId="52" applyFont="1" applyFill="1" applyBorder="1" applyAlignment="1">
      <alignment vertical="center"/>
      <protection/>
    </xf>
    <xf numFmtId="0" fontId="1" fillId="0" borderId="26" xfId="52" applyFont="1" applyFill="1" applyBorder="1" applyAlignment="1">
      <alignment vertical="center"/>
      <protection/>
    </xf>
    <xf numFmtId="171" fontId="6" fillId="0" borderId="43" xfId="52" applyNumberFormat="1" applyFont="1" applyFill="1" applyBorder="1" applyAlignment="1">
      <alignment vertical="center"/>
      <protection/>
    </xf>
    <xf numFmtId="0" fontId="1" fillId="0" borderId="26" xfId="52" applyFont="1" applyBorder="1" applyAlignment="1">
      <alignment vertical="center"/>
      <protection/>
    </xf>
    <xf numFmtId="171" fontId="1" fillId="0" borderId="49" xfId="52" applyNumberFormat="1" applyFont="1" applyFill="1" applyBorder="1" applyAlignment="1">
      <alignment vertical="center"/>
      <protection/>
    </xf>
    <xf numFmtId="0" fontId="6" fillId="0" borderId="4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49" fontId="6" fillId="0" borderId="32" xfId="52" applyNumberFormat="1" applyFont="1" applyBorder="1" applyAlignment="1">
      <alignment horizontal="center" vertical="center"/>
      <protection/>
    </xf>
    <xf numFmtId="0" fontId="1" fillId="0" borderId="47" xfId="52" applyFont="1" applyBorder="1" applyAlignment="1">
      <alignment horizontal="center" vertical="center"/>
      <protection/>
    </xf>
    <xf numFmtId="0" fontId="1" fillId="0" borderId="48" xfId="54" applyFont="1" applyFill="1" applyBorder="1" applyAlignment="1">
      <alignment horizontal="center" vertical="center"/>
      <protection/>
    </xf>
    <xf numFmtId="0" fontId="1" fillId="0" borderId="38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left" vertical="center"/>
      <protection/>
    </xf>
    <xf numFmtId="0" fontId="36" fillId="0" borderId="0" xfId="54" applyFont="1" applyAlignment="1">
      <alignment vertical="center"/>
      <protection/>
    </xf>
    <xf numFmtId="0" fontId="6" fillId="0" borderId="41" xfId="52" applyFont="1" applyBorder="1" applyAlignment="1">
      <alignment horizontal="center" vertical="center"/>
      <protection/>
    </xf>
    <xf numFmtId="0" fontId="1" fillId="0" borderId="46" xfId="52" applyFont="1" applyBorder="1" applyAlignment="1">
      <alignment horizontal="center" vertical="center"/>
      <protection/>
    </xf>
    <xf numFmtId="0" fontId="0" fillId="0" borderId="58" xfId="52" applyFont="1" applyBorder="1" applyAlignment="1">
      <alignment vertical="center"/>
      <protection/>
    </xf>
    <xf numFmtId="0" fontId="1" fillId="0" borderId="36" xfId="52" applyFont="1" applyBorder="1" applyAlignment="1">
      <alignment horizontal="center" vertical="center"/>
      <protection/>
    </xf>
    <xf numFmtId="0" fontId="1" fillId="0" borderId="59" xfId="52" applyFont="1" applyBorder="1" applyAlignment="1">
      <alignment vertical="center"/>
      <protection/>
    </xf>
    <xf numFmtId="4" fontId="1" fillId="0" borderId="36" xfId="55" applyNumberFormat="1" applyFont="1" applyFill="1" applyBorder="1" applyAlignment="1">
      <alignment vertical="center"/>
      <protection/>
    </xf>
    <xf numFmtId="4" fontId="1" fillId="0" borderId="35" xfId="55" applyNumberFormat="1" applyFont="1" applyFill="1" applyBorder="1" applyAlignment="1">
      <alignment vertical="center"/>
      <protection/>
    </xf>
    <xf numFmtId="4" fontId="1" fillId="0" borderId="32" xfId="55" applyNumberFormat="1" applyFont="1" applyFill="1" applyBorder="1" applyAlignment="1">
      <alignment vertical="center"/>
      <protection/>
    </xf>
    <xf numFmtId="4" fontId="1" fillId="0" borderId="31" xfId="55" applyNumberFormat="1" applyFont="1" applyFill="1" applyBorder="1" applyAlignment="1">
      <alignment vertical="center"/>
      <protection/>
    </xf>
    <xf numFmtId="0" fontId="1" fillId="0" borderId="32" xfId="52" applyFont="1" applyBorder="1" applyAlignment="1">
      <alignment horizontal="center" vertical="center"/>
      <protection/>
    </xf>
    <xf numFmtId="0" fontId="1" fillId="0" borderId="27" xfId="52" applyFont="1" applyBorder="1" applyAlignment="1">
      <alignment vertical="center"/>
      <protection/>
    </xf>
    <xf numFmtId="0" fontId="1" fillId="0" borderId="51" xfId="52" applyFont="1" applyBorder="1" applyAlignment="1">
      <alignment horizontal="center" vertical="center"/>
      <protection/>
    </xf>
    <xf numFmtId="0" fontId="0" fillId="0" borderId="60" xfId="52" applyFont="1" applyBorder="1" applyAlignment="1">
      <alignment vertical="center"/>
      <protection/>
    </xf>
    <xf numFmtId="0" fontId="1" fillId="0" borderId="38" xfId="52" applyFont="1" applyBorder="1" applyAlignment="1">
      <alignment horizontal="center" vertical="center"/>
      <protection/>
    </xf>
    <xf numFmtId="4" fontId="1" fillId="0" borderId="61" xfId="52" applyNumberFormat="1" applyFont="1" applyFill="1" applyBorder="1" applyAlignment="1">
      <alignment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29" fillId="0" borderId="32" xfId="48" applyFont="1" applyFill="1" applyBorder="1" applyAlignment="1">
      <alignment vertical="center"/>
      <protection/>
    </xf>
    <xf numFmtId="0" fontId="29" fillId="0" borderId="36" xfId="48" applyFont="1" applyFill="1" applyBorder="1" applyAlignment="1">
      <alignment vertical="center"/>
      <protection/>
    </xf>
    <xf numFmtId="0" fontId="0" fillId="0" borderId="62" xfId="52" applyFont="1" applyBorder="1" applyAlignment="1">
      <alignment vertical="center"/>
      <protection/>
    </xf>
    <xf numFmtId="0" fontId="1" fillId="0" borderId="48" xfId="52" applyFont="1" applyBorder="1" applyAlignment="1">
      <alignment horizontal="center" vertical="center"/>
      <protection/>
    </xf>
    <xf numFmtId="4" fontId="6" fillId="0" borderId="31" xfId="53" applyNumberFormat="1" applyFont="1" applyFill="1" applyBorder="1" applyAlignment="1">
      <alignment vertical="center"/>
      <protection/>
    </xf>
    <xf numFmtId="4" fontId="1" fillId="0" borderId="49" xfId="53" applyNumberFormat="1" applyFont="1" applyFill="1" applyBorder="1" applyAlignment="1">
      <alignment vertical="center"/>
      <protection/>
    </xf>
    <xf numFmtId="4" fontId="1" fillId="0" borderId="49" xfId="56" applyNumberFormat="1" applyFont="1" applyFill="1" applyBorder="1" applyAlignment="1">
      <alignment vertical="center"/>
      <protection/>
    </xf>
    <xf numFmtId="173" fontId="1" fillId="0" borderId="63" xfId="52" applyNumberFormat="1" applyFont="1" applyFill="1" applyBorder="1" applyAlignment="1">
      <alignment vertical="center"/>
      <protection/>
    </xf>
    <xf numFmtId="4" fontId="1" fillId="0" borderId="64" xfId="52" applyNumberFormat="1" applyFont="1" applyFill="1" applyBorder="1" applyAlignment="1">
      <alignment vertical="center"/>
      <protection/>
    </xf>
    <xf numFmtId="4" fontId="1" fillId="0" borderId="57" xfId="53" applyNumberFormat="1" applyFont="1" applyFill="1" applyBorder="1" applyAlignment="1">
      <alignment vertical="center"/>
      <protection/>
    </xf>
    <xf numFmtId="4" fontId="1" fillId="0" borderId="35" xfId="53" applyNumberFormat="1" applyFont="1" applyFill="1" applyBorder="1" applyAlignment="1">
      <alignment vertical="center"/>
      <protection/>
    </xf>
    <xf numFmtId="4" fontId="24" fillId="0" borderId="16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52" applyFont="1" applyFill="1" applyBorder="1" applyAlignment="1">
      <alignment horizontal="center" vertical="center"/>
      <protection/>
    </xf>
    <xf numFmtId="1" fontId="4" fillId="0" borderId="28" xfId="52" applyNumberFormat="1" applyFont="1" applyFill="1" applyBorder="1" applyAlignment="1">
      <alignment horizontal="center" vertical="center"/>
      <protection/>
    </xf>
    <xf numFmtId="2" fontId="4" fillId="0" borderId="65" xfId="52" applyNumberFormat="1" applyFont="1" applyBorder="1" applyAlignment="1">
      <alignment horizontal="center" vertical="center"/>
      <protection/>
    </xf>
    <xf numFmtId="2" fontId="4" fillId="0" borderId="12" xfId="52" applyNumberFormat="1" applyFont="1" applyBorder="1" applyAlignment="1">
      <alignment horizontal="center" vertical="center"/>
      <protection/>
    </xf>
    <xf numFmtId="2" fontId="4" fillId="0" borderId="66" xfId="52" applyNumberFormat="1" applyFont="1" applyFill="1" applyBorder="1" applyAlignment="1">
      <alignment horizontal="center" vertical="center"/>
      <protection/>
    </xf>
    <xf numFmtId="2" fontId="4" fillId="0" borderId="67" xfId="52" applyNumberFormat="1" applyFont="1" applyFill="1" applyBorder="1" applyAlignment="1">
      <alignment horizontal="center" vertical="center"/>
      <protection/>
    </xf>
    <xf numFmtId="4" fontId="4" fillId="0" borderId="11" xfId="52" applyNumberFormat="1" applyFont="1" applyFill="1" applyBorder="1" applyAlignment="1">
      <alignment vertical="center"/>
      <protection/>
    </xf>
    <xf numFmtId="4" fontId="4" fillId="0" borderId="43" xfId="52" applyNumberFormat="1" applyFont="1" applyFill="1" applyBorder="1" applyAlignment="1">
      <alignment vertical="center"/>
      <protection/>
    </xf>
    <xf numFmtId="2" fontId="4" fillId="0" borderId="41" xfId="52" applyNumberFormat="1" applyFont="1" applyBorder="1" applyAlignment="1">
      <alignment horizontal="center" vertical="center"/>
      <protection/>
    </xf>
    <xf numFmtId="49" fontId="4" fillId="0" borderId="33" xfId="52" applyNumberFormat="1" applyFont="1" applyBorder="1" applyAlignment="1">
      <alignment horizontal="center" vertical="center"/>
      <protection/>
    </xf>
    <xf numFmtId="2" fontId="4" fillId="0" borderId="33" xfId="52" applyNumberFormat="1" applyFont="1" applyFill="1" applyBorder="1" applyAlignment="1">
      <alignment horizontal="center" vertical="center"/>
      <protection/>
    </xf>
    <xf numFmtId="2" fontId="4" fillId="0" borderId="25" xfId="52" applyNumberFormat="1" applyFont="1" applyFill="1" applyBorder="1" applyAlignment="1">
      <alignment vertical="center"/>
      <protection/>
    </xf>
    <xf numFmtId="4" fontId="4" fillId="0" borderId="54" xfId="52" applyNumberFormat="1" applyFont="1" applyFill="1" applyBorder="1" applyAlignment="1">
      <alignment vertical="center"/>
      <protection/>
    </xf>
    <xf numFmtId="2" fontId="1" fillId="0" borderId="47" xfId="52" applyNumberFormat="1" applyFont="1" applyBorder="1" applyAlignment="1">
      <alignment horizontal="center" vertical="center"/>
      <protection/>
    </xf>
    <xf numFmtId="2" fontId="1" fillId="0" borderId="48" xfId="52" applyNumberFormat="1" applyFont="1" applyBorder="1" applyAlignment="1">
      <alignment horizontal="center" vertical="center"/>
      <protection/>
    </xf>
    <xf numFmtId="1" fontId="1" fillId="0" borderId="48" xfId="52" applyNumberFormat="1" applyFont="1" applyFill="1" applyBorder="1" applyAlignment="1">
      <alignment horizontal="center" vertical="center"/>
      <protection/>
    </xf>
    <xf numFmtId="2" fontId="1" fillId="0" borderId="26" xfId="52" applyNumberFormat="1" applyFont="1" applyFill="1" applyBorder="1" applyAlignment="1">
      <alignment vertical="center"/>
      <protection/>
    </xf>
    <xf numFmtId="4" fontId="1" fillId="0" borderId="55" xfId="52" applyNumberFormat="1" applyFont="1" applyFill="1" applyBorder="1" applyAlignment="1">
      <alignment vertical="center"/>
      <protection/>
    </xf>
    <xf numFmtId="2" fontId="4" fillId="0" borderId="41" xfId="52" applyNumberFormat="1" applyFont="1" applyFill="1" applyBorder="1" applyAlignment="1">
      <alignment horizontal="center" vertical="center" wrapText="1"/>
      <protection/>
    </xf>
    <xf numFmtId="49" fontId="4" fillId="0" borderId="33" xfId="51" applyNumberFormat="1" applyFont="1" applyFill="1" applyBorder="1" applyAlignment="1">
      <alignment horizontal="center" vertical="center"/>
      <protection/>
    </xf>
    <xf numFmtId="1" fontId="4" fillId="0" borderId="33" xfId="52" applyNumberFormat="1" applyFont="1" applyFill="1" applyBorder="1" applyAlignment="1">
      <alignment horizontal="center" vertical="center" wrapText="1"/>
      <protection/>
    </xf>
    <xf numFmtId="2" fontId="4" fillId="0" borderId="25" xfId="52" applyNumberFormat="1" applyFont="1" applyFill="1" applyBorder="1" applyAlignment="1">
      <alignment horizontal="left" vertical="center"/>
      <protection/>
    </xf>
    <xf numFmtId="2" fontId="1" fillId="0" borderId="51" xfId="52" applyNumberFormat="1" applyFont="1" applyFill="1" applyBorder="1" applyAlignment="1">
      <alignment horizontal="center" vertical="center"/>
      <protection/>
    </xf>
    <xf numFmtId="2" fontId="4" fillId="0" borderId="52" xfId="52" applyNumberFormat="1" applyFont="1" applyFill="1" applyBorder="1" applyAlignment="1">
      <alignment horizontal="center" vertical="center"/>
      <protection/>
    </xf>
    <xf numFmtId="1" fontId="1" fillId="0" borderId="52" xfId="52" applyNumberFormat="1" applyFont="1" applyFill="1" applyBorder="1" applyAlignment="1">
      <alignment horizontal="center" vertical="center"/>
      <protection/>
    </xf>
    <xf numFmtId="1" fontId="1" fillId="0" borderId="10" xfId="52" applyNumberFormat="1" applyFont="1" applyFill="1" applyBorder="1" applyAlignment="1">
      <alignment horizontal="center" vertical="center"/>
      <protection/>
    </xf>
    <xf numFmtId="4" fontId="1" fillId="0" borderId="56" xfId="52" applyNumberFormat="1" applyFont="1" applyFill="1" applyBorder="1" applyAlignment="1">
      <alignment vertical="center"/>
      <protection/>
    </xf>
    <xf numFmtId="49" fontId="4" fillId="0" borderId="33" xfId="52" applyNumberFormat="1" applyFont="1" applyFill="1" applyBorder="1" applyAlignment="1">
      <alignment horizontal="center" vertical="center" wrapText="1"/>
      <protection/>
    </xf>
    <xf numFmtId="2" fontId="4" fillId="0" borderId="25" xfId="52" applyNumberFormat="1" applyFont="1" applyFill="1" applyBorder="1" applyAlignment="1">
      <alignment vertical="center" wrapText="1"/>
      <protection/>
    </xf>
    <xf numFmtId="2" fontId="1" fillId="0" borderId="26" xfId="52" applyNumberFormat="1" applyFont="1" applyFill="1" applyBorder="1" applyAlignment="1">
      <alignment horizontal="left" vertical="center"/>
      <protection/>
    </xf>
    <xf numFmtId="0" fontId="1" fillId="0" borderId="27" xfId="52" applyFont="1" applyFill="1" applyBorder="1" applyAlignment="1">
      <alignment horizontal="left" vertical="center" wrapText="1"/>
      <protection/>
    </xf>
    <xf numFmtId="4" fontId="1" fillId="0" borderId="56" xfId="53" applyNumberFormat="1" applyFont="1" applyFill="1" applyBorder="1" applyAlignment="1">
      <alignment vertical="center"/>
      <protection/>
    </xf>
    <xf numFmtId="0" fontId="4" fillId="0" borderId="41" xfId="52" applyFont="1" applyFill="1" applyBorder="1" applyAlignment="1">
      <alignment horizontal="center" vertical="center"/>
      <protection/>
    </xf>
    <xf numFmtId="0" fontId="4" fillId="0" borderId="33" xfId="52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vertical="center"/>
      <protection/>
    </xf>
    <xf numFmtId="4" fontId="4" fillId="0" borderId="43" xfId="53" applyNumberFormat="1" applyFont="1" applyFill="1" applyBorder="1" applyAlignment="1">
      <alignment vertical="center"/>
      <protection/>
    </xf>
    <xf numFmtId="0" fontId="1" fillId="0" borderId="45" xfId="52" applyFont="1" applyFill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2" fontId="1" fillId="0" borderId="44" xfId="52" applyNumberFormat="1" applyFont="1" applyBorder="1" applyAlignment="1">
      <alignment horizontal="center" vertical="center"/>
      <protection/>
    </xf>
    <xf numFmtId="49" fontId="1" fillId="17" borderId="52" xfId="52" applyNumberFormat="1" applyFont="1" applyFill="1" applyBorder="1" applyAlignment="1">
      <alignment horizontal="center" vertical="center"/>
      <protection/>
    </xf>
    <xf numFmtId="0" fontId="4" fillId="0" borderId="25" xfId="52" applyFont="1" applyFill="1" applyBorder="1" applyAlignment="1">
      <alignment vertical="center" wrapText="1"/>
      <protection/>
    </xf>
    <xf numFmtId="2" fontId="4" fillId="0" borderId="52" xfId="52" applyNumberFormat="1" applyFont="1" applyBorder="1" applyAlignment="1">
      <alignment horizontal="center" vertical="center"/>
      <protection/>
    </xf>
    <xf numFmtId="2" fontId="4" fillId="0" borderId="16" xfId="52" applyNumberFormat="1" applyFont="1" applyBorder="1" applyAlignment="1">
      <alignment horizontal="center" vertical="center"/>
      <protection/>
    </xf>
    <xf numFmtId="2" fontId="4" fillId="0" borderId="41" xfId="52" applyNumberFormat="1" applyFont="1" applyBorder="1" applyAlignment="1">
      <alignment horizontal="center" vertical="center" wrapText="1"/>
      <protection/>
    </xf>
    <xf numFmtId="2" fontId="1" fillId="0" borderId="51" xfId="52" applyNumberFormat="1" applyFont="1" applyBorder="1" applyAlignment="1">
      <alignment horizontal="center" vertical="center"/>
      <protection/>
    </xf>
    <xf numFmtId="0" fontId="29" fillId="0" borderId="26" xfId="48" applyFont="1" applyFill="1" applyBorder="1" applyAlignment="1">
      <alignment vertical="center"/>
      <protection/>
    </xf>
    <xf numFmtId="0" fontId="1" fillId="0" borderId="47" xfId="52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vertical="center" wrapText="1"/>
      <protection/>
    </xf>
    <xf numFmtId="1" fontId="1" fillId="0" borderId="38" xfId="53" applyNumberFormat="1" applyFont="1" applyFill="1" applyBorder="1" applyAlignment="1">
      <alignment horizontal="center" vertical="center"/>
      <protection/>
    </xf>
    <xf numFmtId="0" fontId="1" fillId="0" borderId="26" xfId="53" applyFont="1" applyFill="1" applyBorder="1" applyAlignment="1">
      <alignment vertical="center"/>
      <protection/>
    </xf>
    <xf numFmtId="0" fontId="41" fillId="0" borderId="40" xfId="53" applyFont="1" applyFill="1" applyBorder="1" applyAlignment="1">
      <alignment horizontal="center" vertical="center"/>
      <protection/>
    </xf>
    <xf numFmtId="0" fontId="41" fillId="0" borderId="13" xfId="53" applyFont="1" applyFill="1" applyBorder="1" applyAlignment="1">
      <alignment horizontal="center" vertical="center"/>
      <protection/>
    </xf>
    <xf numFmtId="0" fontId="42" fillId="0" borderId="12" xfId="52" applyFont="1" applyFill="1" applyBorder="1" applyAlignment="1">
      <alignment horizontal="center" vertical="center"/>
      <protection/>
    </xf>
    <xf numFmtId="0" fontId="41" fillId="0" borderId="14" xfId="52" applyFont="1" applyFill="1" applyBorder="1" applyAlignment="1">
      <alignment vertical="center"/>
      <protection/>
    </xf>
    <xf numFmtId="4" fontId="41" fillId="0" borderId="29" xfId="52" applyNumberFormat="1" applyFont="1" applyFill="1" applyBorder="1" applyAlignment="1">
      <alignment vertical="center"/>
      <protection/>
    </xf>
    <xf numFmtId="0" fontId="0" fillId="0" borderId="0" xfId="52" applyFill="1" applyAlignment="1">
      <alignment vertical="center"/>
      <protection/>
    </xf>
    <xf numFmtId="0" fontId="4" fillId="0" borderId="41" xfId="53" applyFont="1" applyFill="1" applyBorder="1" applyAlignment="1">
      <alignment horizontal="center" vertical="center"/>
      <protection/>
    </xf>
    <xf numFmtId="49" fontId="4" fillId="0" borderId="24" xfId="53" applyNumberFormat="1" applyFont="1" applyFill="1" applyBorder="1" applyAlignment="1">
      <alignment horizontal="center" vertical="center"/>
      <protection/>
    </xf>
    <xf numFmtId="0" fontId="1" fillId="0" borderId="68" xfId="53" applyFont="1" applyFill="1" applyBorder="1" applyAlignment="1">
      <alignment horizontal="center" vertical="center"/>
      <protection/>
    </xf>
    <xf numFmtId="49" fontId="1" fillId="0" borderId="36" xfId="53" applyNumberFormat="1" applyFont="1" applyFill="1" applyBorder="1" applyAlignment="1">
      <alignment horizontal="center" vertical="center"/>
      <protection/>
    </xf>
    <xf numFmtId="1" fontId="1" fillId="0" borderId="36" xfId="52" applyNumberFormat="1" applyFont="1" applyFill="1" applyBorder="1" applyAlignment="1">
      <alignment horizontal="center" vertical="center"/>
      <protection/>
    </xf>
    <xf numFmtId="2" fontId="1" fillId="0" borderId="27" xfId="52" applyNumberFormat="1" applyFont="1" applyFill="1" applyBorder="1" applyAlignment="1">
      <alignment horizontal="left" vertical="center"/>
      <protection/>
    </xf>
    <xf numFmtId="2" fontId="1" fillId="0" borderId="35" xfId="47" applyNumberFormat="1" applyFont="1" applyFill="1" applyBorder="1" applyAlignment="1">
      <alignment horizontal="right" vertical="center"/>
      <protection/>
    </xf>
    <xf numFmtId="4" fontId="1" fillId="0" borderId="37" xfId="52" applyNumberFormat="1" applyFont="1" applyFill="1" applyBorder="1" applyAlignment="1">
      <alignment vertical="center"/>
      <protection/>
    </xf>
    <xf numFmtId="0" fontId="1" fillId="0" borderId="51" xfId="52" applyFont="1" applyFill="1" applyBorder="1" applyAlignment="1">
      <alignment horizontal="center" vertical="center"/>
      <protection/>
    </xf>
    <xf numFmtId="2" fontId="1" fillId="25" borderId="52" xfId="52" applyNumberFormat="1" applyFont="1" applyFill="1" applyBorder="1" applyAlignment="1">
      <alignment horizontal="center" vertical="center"/>
      <protection/>
    </xf>
    <xf numFmtId="1" fontId="1" fillId="0" borderId="53" xfId="52" applyNumberFormat="1" applyFont="1" applyFill="1" applyBorder="1" applyAlignment="1">
      <alignment horizontal="center" vertical="center"/>
      <protection/>
    </xf>
    <xf numFmtId="2" fontId="1" fillId="0" borderId="39" xfId="52" applyNumberFormat="1" applyFont="1" applyFill="1" applyBorder="1" applyAlignment="1">
      <alignment horizontal="left" vertical="center"/>
      <protection/>
    </xf>
    <xf numFmtId="0" fontId="4" fillId="0" borderId="46" xfId="53" applyFont="1" applyFill="1" applyBorder="1" applyAlignment="1">
      <alignment horizontal="center" vertical="center"/>
      <protection/>
    </xf>
    <xf numFmtId="2" fontId="1" fillId="25" borderId="10" xfId="52" applyNumberFormat="1" applyFont="1" applyFill="1" applyBorder="1" applyAlignment="1">
      <alignment horizontal="center" vertical="center"/>
      <protection/>
    </xf>
    <xf numFmtId="4" fontId="1" fillId="0" borderId="31" xfId="53" applyNumberFormat="1" applyFont="1" applyFill="1" applyBorder="1" applyAlignment="1">
      <alignment vertical="center"/>
      <protection/>
    </xf>
    <xf numFmtId="49" fontId="4" fillId="0" borderId="32" xfId="53" applyNumberFormat="1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/>
      <protection/>
    </xf>
    <xf numFmtId="4" fontId="4" fillId="0" borderId="31" xfId="52" applyNumberFormat="1" applyFont="1" applyFill="1" applyBorder="1" applyAlignment="1">
      <alignment vertical="center"/>
      <protection/>
    </xf>
    <xf numFmtId="4" fontId="4" fillId="0" borderId="31" xfId="53" applyNumberFormat="1" applyFont="1" applyFill="1" applyBorder="1" applyAlignment="1">
      <alignment vertical="center"/>
      <protection/>
    </xf>
    <xf numFmtId="49" fontId="4" fillId="0" borderId="36" xfId="53" applyNumberFormat="1" applyFont="1" applyFill="1" applyBorder="1" applyAlignment="1">
      <alignment horizontal="center" vertical="center"/>
      <protection/>
    </xf>
    <xf numFmtId="0" fontId="1" fillId="0" borderId="55" xfId="52" applyFont="1" applyFill="1" applyBorder="1" applyAlignment="1">
      <alignment horizontal="center" vertical="center"/>
      <protection/>
    </xf>
    <xf numFmtId="2" fontId="1" fillId="25" borderId="48" xfId="52" applyNumberFormat="1" applyFont="1" applyFill="1" applyBorder="1" applyAlignment="1">
      <alignment horizontal="center" vertical="center"/>
      <protection/>
    </xf>
    <xf numFmtId="1" fontId="1" fillId="0" borderId="38" xfId="52" applyNumberFormat="1" applyFont="1" applyFill="1" applyBorder="1" applyAlignment="1">
      <alignment horizontal="center" vertical="center"/>
      <protection/>
    </xf>
    <xf numFmtId="2" fontId="1" fillId="25" borderId="21" xfId="52" applyNumberFormat="1" applyFont="1" applyFill="1" applyBorder="1" applyAlignment="1">
      <alignment horizontal="center" vertical="center"/>
      <protection/>
    </xf>
    <xf numFmtId="0" fontId="1" fillId="0" borderId="46" xfId="52" applyFont="1" applyFill="1" applyBorder="1" applyAlignment="1">
      <alignment horizontal="center" vertical="center"/>
      <protection/>
    </xf>
    <xf numFmtId="1" fontId="1" fillId="0" borderId="16" xfId="52" applyNumberFormat="1" applyFont="1" applyFill="1" applyBorder="1" applyAlignment="1">
      <alignment horizontal="center" vertical="center"/>
      <protection/>
    </xf>
    <xf numFmtId="1" fontId="1" fillId="0" borderId="32" xfId="52" applyNumberFormat="1" applyFont="1" applyFill="1" applyBorder="1" applyAlignment="1">
      <alignment horizontal="center" vertical="center"/>
      <protection/>
    </xf>
    <xf numFmtId="2" fontId="1" fillId="0" borderId="17" xfId="52" applyNumberFormat="1" applyFont="1" applyFill="1" applyBorder="1" applyAlignment="1">
      <alignment horizontal="left" vertical="center"/>
      <protection/>
    </xf>
    <xf numFmtId="2" fontId="4" fillId="0" borderId="48" xfId="52" applyNumberFormat="1" applyFont="1" applyBorder="1" applyAlignment="1">
      <alignment horizontal="center" vertical="center"/>
      <protection/>
    </xf>
    <xf numFmtId="2" fontId="1" fillId="25" borderId="16" xfId="52" applyNumberFormat="1" applyFont="1" applyFill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49" fontId="4" fillId="0" borderId="33" xfId="53" applyNumberFormat="1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/>
      <protection/>
    </xf>
    <xf numFmtId="0" fontId="4" fillId="0" borderId="25" xfId="53" applyFont="1" applyFill="1" applyBorder="1" applyAlignment="1">
      <alignment vertical="center"/>
      <protection/>
    </xf>
    <xf numFmtId="2" fontId="1" fillId="25" borderId="10" xfId="53" applyNumberFormat="1" applyFont="1" applyFill="1" applyBorder="1" applyAlignment="1">
      <alignment horizontal="center" vertical="center"/>
      <protection/>
    </xf>
    <xf numFmtId="1" fontId="1" fillId="0" borderId="10" xfId="53" applyNumberFormat="1" applyFont="1" applyFill="1" applyBorder="1" applyAlignment="1">
      <alignment horizontal="center" vertical="center"/>
      <protection/>
    </xf>
    <xf numFmtId="1" fontId="1" fillId="0" borderId="36" xfId="53" applyNumberFormat="1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vertical="center"/>
      <protection/>
    </xf>
    <xf numFmtId="2" fontId="1" fillId="25" borderId="52" xfId="53" applyNumberFormat="1" applyFont="1" applyFill="1" applyBorder="1" applyAlignment="1">
      <alignment horizontal="center" vertical="center"/>
      <protection/>
    </xf>
    <xf numFmtId="1" fontId="1" fillId="0" borderId="52" xfId="53" applyNumberFormat="1" applyFont="1" applyFill="1" applyBorder="1" applyAlignment="1">
      <alignment horizontal="center" vertical="center"/>
      <protection/>
    </xf>
    <xf numFmtId="1" fontId="1" fillId="0" borderId="53" xfId="53" applyNumberFormat="1" applyFont="1" applyFill="1" applyBorder="1" applyAlignment="1">
      <alignment horizontal="center" vertical="center"/>
      <protection/>
    </xf>
    <xf numFmtId="2" fontId="1" fillId="0" borderId="39" xfId="53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4" fillId="0" borderId="23" xfId="52" applyNumberFormat="1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 vertical="center"/>
    </xf>
    <xf numFmtId="0" fontId="0" fillId="0" borderId="69" xfId="0" applyBorder="1" applyAlignment="1">
      <alignment vertical="center"/>
    </xf>
    <xf numFmtId="0" fontId="29" fillId="0" borderId="26" xfId="49" applyFont="1" applyFill="1" applyBorder="1" applyAlignment="1">
      <alignment vertical="center" wrapText="1"/>
      <protection/>
    </xf>
    <xf numFmtId="0" fontId="3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4" fillId="0" borderId="67" xfId="52" applyNumberFormat="1" applyFont="1" applyFill="1" applyBorder="1" applyAlignment="1">
      <alignment horizontal="center" vertical="center"/>
      <protection/>
    </xf>
    <xf numFmtId="2" fontId="4" fillId="0" borderId="53" xfId="52" applyNumberFormat="1" applyFont="1" applyFill="1" applyBorder="1" applyAlignment="1">
      <alignment horizontal="center" vertical="center"/>
      <protection/>
    </xf>
    <xf numFmtId="0" fontId="4" fillId="0" borderId="65" xfId="52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70" xfId="52" applyFont="1" applyFill="1" applyBorder="1" applyAlignment="1">
      <alignment horizontal="center" vertical="center"/>
      <protection/>
    </xf>
    <xf numFmtId="0" fontId="1" fillId="0" borderId="71" xfId="52" applyFont="1" applyBorder="1" applyAlignment="1">
      <alignment horizontal="center" vertical="center" textRotation="90" wrapText="1"/>
      <protection/>
    </xf>
    <xf numFmtId="0" fontId="1" fillId="0" borderId="64" xfId="52" applyFont="1" applyBorder="1" applyAlignment="1">
      <alignment horizontal="center" vertical="center" textRotation="90" wrapText="1"/>
      <protection/>
    </xf>
    <xf numFmtId="0" fontId="1" fillId="0" borderId="57" xfId="52" applyFont="1" applyBorder="1" applyAlignment="1">
      <alignment horizontal="center" vertical="center" textRotation="90" wrapText="1"/>
      <protection/>
    </xf>
    <xf numFmtId="0" fontId="4" fillId="0" borderId="71" xfId="52" applyFont="1" applyFill="1" applyBorder="1" applyAlignment="1">
      <alignment horizontal="center" vertical="center"/>
      <protection/>
    </xf>
    <xf numFmtId="0" fontId="4" fillId="0" borderId="57" xfId="52" applyFont="1" applyFill="1" applyBorder="1" applyAlignment="1">
      <alignment horizontal="center" vertical="center"/>
      <protection/>
    </xf>
    <xf numFmtId="2" fontId="4" fillId="0" borderId="72" xfId="52" applyNumberFormat="1" applyFont="1" applyBorder="1" applyAlignment="1">
      <alignment horizontal="center" vertical="center"/>
      <protection/>
    </xf>
    <xf numFmtId="2" fontId="4" fillId="0" borderId="73" xfId="52" applyNumberFormat="1" applyFont="1" applyBorder="1" applyAlignment="1">
      <alignment horizontal="center" vertical="center"/>
      <protection/>
    </xf>
    <xf numFmtId="2" fontId="4" fillId="0" borderId="56" xfId="52" applyNumberFormat="1" applyFont="1" applyBorder="1" applyAlignment="1">
      <alignment horizontal="center" vertical="center"/>
      <protection/>
    </xf>
    <xf numFmtId="2" fontId="4" fillId="0" borderId="66" xfId="52" applyNumberFormat="1" applyFont="1" applyBorder="1" applyAlignment="1">
      <alignment horizontal="center" vertical="center"/>
      <protection/>
    </xf>
    <xf numFmtId="2" fontId="4" fillId="0" borderId="52" xfId="52" applyNumberFormat="1" applyFont="1" applyBorder="1" applyAlignment="1">
      <alignment horizontal="center" vertical="center"/>
      <protection/>
    </xf>
    <xf numFmtId="2" fontId="4" fillId="0" borderId="66" xfId="52" applyNumberFormat="1" applyFont="1" applyFill="1" applyBorder="1" applyAlignment="1">
      <alignment horizontal="center" vertical="center"/>
      <protection/>
    </xf>
    <xf numFmtId="2" fontId="4" fillId="0" borderId="52" xfId="52" applyNumberFormat="1" applyFont="1" applyFill="1" applyBorder="1" applyAlignment="1">
      <alignment horizontal="center" vertical="center"/>
      <protection/>
    </xf>
    <xf numFmtId="0" fontId="1" fillId="0" borderId="71" xfId="54" applyFont="1" applyBorder="1" applyAlignment="1">
      <alignment horizontal="center" vertical="center" textRotation="90" wrapText="1"/>
      <protection/>
    </xf>
    <xf numFmtId="0" fontId="1" fillId="0" borderId="64" xfId="54" applyFont="1" applyBorder="1" applyAlignment="1">
      <alignment horizontal="center" vertical="center" textRotation="90" wrapText="1"/>
      <protection/>
    </xf>
    <xf numFmtId="0" fontId="1" fillId="0" borderId="57" xfId="54" applyFont="1" applyBorder="1" applyAlignment="1">
      <alignment horizontal="center" vertical="center" textRotation="90" wrapText="1"/>
      <protection/>
    </xf>
    <xf numFmtId="0" fontId="30" fillId="0" borderId="0" xfId="50" applyFont="1" applyAlignment="1">
      <alignment horizontal="center" vertical="center"/>
      <protection/>
    </xf>
    <xf numFmtId="49" fontId="4" fillId="0" borderId="71" xfId="54" applyNumberFormat="1" applyFont="1" applyBorder="1" applyAlignment="1">
      <alignment horizontal="center" vertical="center"/>
      <protection/>
    </xf>
    <xf numFmtId="49" fontId="4" fillId="0" borderId="57" xfId="54" applyNumberFormat="1" applyFont="1" applyBorder="1" applyAlignment="1">
      <alignment horizontal="center" vertical="center"/>
      <protection/>
    </xf>
    <xf numFmtId="0" fontId="4" fillId="0" borderId="72" xfId="54" applyFont="1" applyBorder="1" applyAlignment="1">
      <alignment horizontal="center" vertical="center"/>
      <protection/>
    </xf>
    <xf numFmtId="0" fontId="4" fillId="0" borderId="56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4" fillId="0" borderId="52" xfId="54" applyFont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0" fontId="4" fillId="0" borderId="66" xfId="54" applyFont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4" fillId="0" borderId="71" xfId="54" applyFont="1" applyBorder="1" applyAlignment="1">
      <alignment horizontal="center" vertical="center"/>
      <protection/>
    </xf>
    <xf numFmtId="0" fontId="4" fillId="0" borderId="57" xfId="54" applyFont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Kapitola 924" xfId="51"/>
    <cellStyle name="normální_Rozpis výdajů 03 bez PO 2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is výdajů 03 bez PO_06 - OD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37.8515625" style="35" customWidth="1"/>
    <col min="2" max="2" width="7.421875" style="35" customWidth="1"/>
    <col min="3" max="4" width="12.8515625" style="35" customWidth="1"/>
    <col min="5" max="6" width="13.140625" style="35" bestFit="1" customWidth="1"/>
    <col min="7" max="16384" width="9.140625" style="35" customWidth="1"/>
  </cols>
  <sheetData>
    <row r="1" spans="1:6" ht="20.25">
      <c r="A1" s="352" t="s">
        <v>114</v>
      </c>
      <c r="B1" s="352"/>
      <c r="C1" s="352"/>
      <c r="D1" s="352"/>
      <c r="E1" s="352"/>
      <c r="F1" s="352"/>
    </row>
    <row r="2" ht="18" customHeight="1"/>
    <row r="3" spans="1:6" ht="16.5" customHeight="1">
      <c r="A3" s="353" t="s">
        <v>77</v>
      </c>
      <c r="B3" s="353"/>
      <c r="C3" s="353"/>
      <c r="D3" s="353"/>
      <c r="E3" s="353"/>
      <c r="F3" s="353"/>
    </row>
    <row r="4" ht="12.75" customHeight="1" thickBot="1"/>
    <row r="5" spans="1:6" ht="15" thickBot="1">
      <c r="A5" s="36" t="s">
        <v>78</v>
      </c>
      <c r="B5" s="37" t="s">
        <v>1</v>
      </c>
      <c r="C5" s="4" t="s">
        <v>115</v>
      </c>
      <c r="D5" s="3" t="s">
        <v>116</v>
      </c>
      <c r="E5" s="4" t="s">
        <v>0</v>
      </c>
      <c r="F5" s="5" t="s">
        <v>117</v>
      </c>
    </row>
    <row r="6" spans="1:6" ht="16.5" customHeight="1">
      <c r="A6" s="38" t="s">
        <v>79</v>
      </c>
      <c r="B6" s="39" t="s">
        <v>80</v>
      </c>
      <c r="C6" s="40">
        <f>C7+C8+C9</f>
        <v>2179932</v>
      </c>
      <c r="D6" s="239">
        <f>D7+D8+D9</f>
        <v>2249428.98</v>
      </c>
      <c r="E6" s="41">
        <f>SUM(E7:E9)</f>
        <v>0</v>
      </c>
      <c r="F6" s="42">
        <f>SUM(F7:F9)</f>
        <v>2249428.98</v>
      </c>
    </row>
    <row r="7" spans="1:6" ht="15" customHeight="1">
      <c r="A7" s="43" t="s">
        <v>81</v>
      </c>
      <c r="B7" s="44" t="s">
        <v>82</v>
      </c>
      <c r="C7" s="45">
        <v>2122000</v>
      </c>
      <c r="D7" s="1">
        <v>2129133.57</v>
      </c>
      <c r="E7" s="46"/>
      <c r="F7" s="47">
        <f aca="true" t="shared" si="0" ref="F7:F23">D7+E7</f>
        <v>2129133.57</v>
      </c>
    </row>
    <row r="8" spans="1:6" ht="15">
      <c r="A8" s="43" t="s">
        <v>83</v>
      </c>
      <c r="B8" s="44" t="s">
        <v>84</v>
      </c>
      <c r="C8" s="45">
        <v>57932</v>
      </c>
      <c r="D8" s="1">
        <v>116245.41</v>
      </c>
      <c r="E8" s="46"/>
      <c r="F8" s="47">
        <f t="shared" si="0"/>
        <v>116245.41</v>
      </c>
    </row>
    <row r="9" spans="1:6" ht="15">
      <c r="A9" s="43" t="s">
        <v>85</v>
      </c>
      <c r="B9" s="44" t="s">
        <v>86</v>
      </c>
      <c r="C9" s="45">
        <v>0</v>
      </c>
      <c r="D9" s="1">
        <v>4050</v>
      </c>
      <c r="E9" s="46"/>
      <c r="F9" s="47">
        <f t="shared" si="0"/>
        <v>4050</v>
      </c>
    </row>
    <row r="10" spans="1:6" ht="15">
      <c r="A10" s="48" t="s">
        <v>87</v>
      </c>
      <c r="B10" s="44" t="s">
        <v>88</v>
      </c>
      <c r="C10" s="49">
        <f>C11+C16</f>
        <v>85842</v>
      </c>
      <c r="D10" s="50">
        <f>D11+D16</f>
        <v>4032016.74</v>
      </c>
      <c r="E10" s="61">
        <f>E11+E16</f>
        <v>0</v>
      </c>
      <c r="F10" s="51">
        <f>F11+F16</f>
        <v>4032016.74</v>
      </c>
    </row>
    <row r="11" spans="1:6" ht="15">
      <c r="A11" s="52" t="s">
        <v>89</v>
      </c>
      <c r="B11" s="44" t="s">
        <v>90</v>
      </c>
      <c r="C11" s="45">
        <f>SUM(C12:C15)</f>
        <v>85842</v>
      </c>
      <c r="D11" s="1">
        <f>SUM(D12:D15)</f>
        <v>3941455.2</v>
      </c>
      <c r="E11" s="1">
        <f>SUM(E12:E15)</f>
        <v>0</v>
      </c>
      <c r="F11" s="47">
        <f>SUM(F12:F15)</f>
        <v>3941455.2</v>
      </c>
    </row>
    <row r="12" spans="1:6" ht="15">
      <c r="A12" s="52" t="s">
        <v>91</v>
      </c>
      <c r="B12" s="44" t="s">
        <v>92</v>
      </c>
      <c r="C12" s="53">
        <v>61072</v>
      </c>
      <c r="D12" s="1">
        <v>61072</v>
      </c>
      <c r="E12" s="46"/>
      <c r="F12" s="47">
        <f t="shared" si="0"/>
        <v>61072</v>
      </c>
    </row>
    <row r="13" spans="1:6" ht="15">
      <c r="A13" s="52" t="s">
        <v>93</v>
      </c>
      <c r="B13" s="44" t="s">
        <v>90</v>
      </c>
      <c r="C13" s="53">
        <v>0</v>
      </c>
      <c r="D13" s="1">
        <v>3851803.54</v>
      </c>
      <c r="E13" s="46"/>
      <c r="F13" s="47">
        <f>D13+E13</f>
        <v>3851803.54</v>
      </c>
    </row>
    <row r="14" spans="1:6" ht="15">
      <c r="A14" s="52" t="s">
        <v>111</v>
      </c>
      <c r="B14" s="44" t="s">
        <v>112</v>
      </c>
      <c r="C14" s="53">
        <v>0</v>
      </c>
      <c r="D14" s="1">
        <v>3809.66</v>
      </c>
      <c r="E14" s="46"/>
      <c r="F14" s="47">
        <f>D14+E14</f>
        <v>3809.66</v>
      </c>
    </row>
    <row r="15" spans="1:6" ht="15">
      <c r="A15" s="52" t="s">
        <v>94</v>
      </c>
      <c r="B15" s="44">
        <v>4121</v>
      </c>
      <c r="C15" s="53">
        <v>24770</v>
      </c>
      <c r="D15" s="1">
        <v>24770</v>
      </c>
      <c r="E15" s="46"/>
      <c r="F15" s="47">
        <f t="shared" si="0"/>
        <v>24770</v>
      </c>
    </row>
    <row r="16" spans="1:6" ht="15">
      <c r="A16" s="43" t="s">
        <v>95</v>
      </c>
      <c r="B16" s="44" t="s">
        <v>96</v>
      </c>
      <c r="C16" s="53">
        <f>SUM(C17:C19)</f>
        <v>0</v>
      </c>
      <c r="D16" s="1">
        <f>SUM(D17:D19)</f>
        <v>90561.54</v>
      </c>
      <c r="E16" s="1">
        <f>SUM(E17:E19)</f>
        <v>0</v>
      </c>
      <c r="F16" s="47">
        <f>SUM(F17:F19)</f>
        <v>90561.54</v>
      </c>
    </row>
    <row r="17" spans="1:6" ht="15">
      <c r="A17" s="43" t="s">
        <v>97</v>
      </c>
      <c r="B17" s="44" t="s">
        <v>96</v>
      </c>
      <c r="C17" s="53">
        <v>0</v>
      </c>
      <c r="D17" s="1">
        <v>86823.54</v>
      </c>
      <c r="E17" s="46"/>
      <c r="F17" s="47">
        <f t="shared" si="0"/>
        <v>86823.54</v>
      </c>
    </row>
    <row r="18" spans="1:6" ht="15">
      <c r="A18" s="52" t="s">
        <v>98</v>
      </c>
      <c r="B18" s="44">
        <v>4221</v>
      </c>
      <c r="C18" s="53">
        <v>0</v>
      </c>
      <c r="D18" s="1">
        <v>3738</v>
      </c>
      <c r="E18" s="46"/>
      <c r="F18" s="47">
        <f>D18+E18</f>
        <v>3738</v>
      </c>
    </row>
    <row r="19" spans="1:6" ht="15">
      <c r="A19" s="52" t="s">
        <v>113</v>
      </c>
      <c r="B19" s="44">
        <v>4232</v>
      </c>
      <c r="C19" s="53">
        <v>0</v>
      </c>
      <c r="D19" s="1">
        <v>0</v>
      </c>
      <c r="E19" s="46"/>
      <c r="F19" s="47">
        <f>D19+E19</f>
        <v>0</v>
      </c>
    </row>
    <row r="20" spans="1:6" ht="14.25">
      <c r="A20" s="48" t="s">
        <v>99</v>
      </c>
      <c r="B20" s="54" t="s">
        <v>100</v>
      </c>
      <c r="C20" s="49">
        <f>C6+C10</f>
        <v>2265774</v>
      </c>
      <c r="D20" s="50">
        <f>D6+D10</f>
        <v>6281445.720000001</v>
      </c>
      <c r="E20" s="50">
        <f>E6+E10</f>
        <v>0</v>
      </c>
      <c r="F20" s="51">
        <f>F6+F10</f>
        <v>6281445.720000001</v>
      </c>
    </row>
    <row r="21" spans="1:6" ht="14.25">
      <c r="A21" s="48" t="s">
        <v>101</v>
      </c>
      <c r="B21" s="54" t="s">
        <v>102</v>
      </c>
      <c r="C21" s="49">
        <f>SUM(C22:C26)</f>
        <v>-96875</v>
      </c>
      <c r="D21" s="50">
        <f>SUM(D22:D26)</f>
        <v>1071584.24</v>
      </c>
      <c r="E21" s="50">
        <f>SUM(E22:E26)</f>
        <v>0</v>
      </c>
      <c r="F21" s="55">
        <f>SUM(F22:F26)</f>
        <v>1071584.24</v>
      </c>
    </row>
    <row r="22" spans="1:6" ht="15">
      <c r="A22" s="52" t="s">
        <v>118</v>
      </c>
      <c r="B22" s="44" t="s">
        <v>103</v>
      </c>
      <c r="C22" s="53">
        <v>0</v>
      </c>
      <c r="D22" s="1">
        <v>88242.1</v>
      </c>
      <c r="E22" s="64"/>
      <c r="F22" s="47">
        <f t="shared" si="0"/>
        <v>88242.1</v>
      </c>
    </row>
    <row r="23" spans="1:6" ht="15">
      <c r="A23" s="52" t="s">
        <v>119</v>
      </c>
      <c r="B23" s="44" t="s">
        <v>103</v>
      </c>
      <c r="C23" s="53">
        <v>0</v>
      </c>
      <c r="D23" s="1">
        <v>202563.47</v>
      </c>
      <c r="E23" s="56"/>
      <c r="F23" s="47">
        <f t="shared" si="0"/>
        <v>202563.47</v>
      </c>
    </row>
    <row r="24" spans="1:6" ht="15">
      <c r="A24" s="52" t="s">
        <v>120</v>
      </c>
      <c r="B24" s="44" t="s">
        <v>103</v>
      </c>
      <c r="C24" s="53">
        <v>0</v>
      </c>
      <c r="D24" s="1">
        <v>877653.67</v>
      </c>
      <c r="E24" s="56"/>
      <c r="F24" s="47">
        <f>D24+E24</f>
        <v>877653.67</v>
      </c>
    </row>
    <row r="25" spans="1:6" ht="15">
      <c r="A25" s="52" t="s">
        <v>104</v>
      </c>
      <c r="B25" s="44" t="s">
        <v>105</v>
      </c>
      <c r="C25" s="53">
        <v>0</v>
      </c>
      <c r="D25" s="1">
        <v>0</v>
      </c>
      <c r="E25" s="46"/>
      <c r="F25" s="47">
        <f>D25+E25</f>
        <v>0</v>
      </c>
    </row>
    <row r="26" spans="1:6" ht="15.75" thickBot="1">
      <c r="A26" s="52" t="s">
        <v>106</v>
      </c>
      <c r="B26" s="44">
        <v>8124</v>
      </c>
      <c r="C26" s="53">
        <v>-96875</v>
      </c>
      <c r="D26" s="1">
        <v>-96875</v>
      </c>
      <c r="E26" s="56"/>
      <c r="F26" s="47">
        <f>D26+E26</f>
        <v>-96875</v>
      </c>
    </row>
    <row r="27" spans="1:6" ht="15" thickBot="1">
      <c r="A27" s="57" t="s">
        <v>107</v>
      </c>
      <c r="B27" s="58"/>
      <c r="C27" s="59">
        <f>C21+C10+C6</f>
        <v>2168899</v>
      </c>
      <c r="D27" s="19">
        <f>D21+D10+D6</f>
        <v>7353029.960000001</v>
      </c>
      <c r="E27" s="60">
        <f>E6+E10+E21</f>
        <v>0</v>
      </c>
      <c r="F27" s="20">
        <f>D27+E27</f>
        <v>7353029.960000001</v>
      </c>
    </row>
    <row r="29" ht="11.25">
      <c r="E29" s="65"/>
    </row>
    <row r="30" spans="1:6" ht="18.75">
      <c r="A30" s="353" t="s">
        <v>31</v>
      </c>
      <c r="B30" s="353"/>
      <c r="C30" s="353"/>
      <c r="D30" s="353"/>
      <c r="E30" s="353"/>
      <c r="F30" s="353"/>
    </row>
    <row r="31" spans="1:6" ht="12" customHeight="1" thickBot="1">
      <c r="A31" s="6"/>
      <c r="B31" s="6"/>
      <c r="C31" s="6"/>
      <c r="D31" s="66"/>
      <c r="E31" s="6"/>
      <c r="F31" s="6"/>
    </row>
    <row r="32" spans="1:6" ht="15" thickBot="1">
      <c r="A32" s="2" t="s">
        <v>10</v>
      </c>
      <c r="B32" s="3" t="s">
        <v>1</v>
      </c>
      <c r="C32" s="4" t="s">
        <v>115</v>
      </c>
      <c r="D32" s="4" t="s">
        <v>116</v>
      </c>
      <c r="E32" s="4" t="s">
        <v>0</v>
      </c>
      <c r="F32" s="5" t="s">
        <v>117</v>
      </c>
    </row>
    <row r="33" spans="1:6" ht="15">
      <c r="A33" s="7" t="s">
        <v>11</v>
      </c>
      <c r="B33" s="8" t="s">
        <v>12</v>
      </c>
      <c r="C33" s="9">
        <v>30454</v>
      </c>
      <c r="D33" s="9">
        <v>27594</v>
      </c>
      <c r="E33" s="9"/>
      <c r="F33" s="10">
        <f>D33+E33</f>
        <v>27594</v>
      </c>
    </row>
    <row r="34" spans="1:6" ht="15">
      <c r="A34" s="11" t="s">
        <v>13</v>
      </c>
      <c r="B34" s="12" t="s">
        <v>12</v>
      </c>
      <c r="C34" s="1">
        <v>213803.25</v>
      </c>
      <c r="D34" s="1">
        <v>215664.09</v>
      </c>
      <c r="E34" s="9"/>
      <c r="F34" s="10">
        <f>D34+E34</f>
        <v>215664.09</v>
      </c>
    </row>
    <row r="35" spans="1:6" ht="15">
      <c r="A35" s="11" t="s">
        <v>14</v>
      </c>
      <c r="B35" s="12" t="s">
        <v>12</v>
      </c>
      <c r="C35" s="1">
        <v>870010</v>
      </c>
      <c r="D35" s="1">
        <v>875352.57</v>
      </c>
      <c r="E35" s="9"/>
      <c r="F35" s="10">
        <f aca="true" t="shared" si="1" ref="F35:F50">D35+E35</f>
        <v>875352.57</v>
      </c>
    </row>
    <row r="36" spans="1:6" ht="15">
      <c r="A36" s="11" t="s">
        <v>15</v>
      </c>
      <c r="B36" s="12" t="s">
        <v>12</v>
      </c>
      <c r="C36" s="1">
        <v>592559.15</v>
      </c>
      <c r="D36" s="1">
        <v>734577.92</v>
      </c>
      <c r="E36" s="21"/>
      <c r="F36" s="10">
        <f>D36+E36</f>
        <v>734577.92</v>
      </c>
    </row>
    <row r="37" spans="1:6" ht="15">
      <c r="A37" s="11" t="s">
        <v>16</v>
      </c>
      <c r="B37" s="12" t="s">
        <v>12</v>
      </c>
      <c r="C37" s="1">
        <v>0</v>
      </c>
      <c r="D37" s="1">
        <v>3458271.27</v>
      </c>
      <c r="E37" s="21"/>
      <c r="F37" s="10">
        <f>D37+E37</f>
        <v>3458271.27</v>
      </c>
    </row>
    <row r="38" spans="1:6" ht="15">
      <c r="A38" s="11" t="s">
        <v>121</v>
      </c>
      <c r="B38" s="12" t="s">
        <v>12</v>
      </c>
      <c r="C38" s="1">
        <v>40847</v>
      </c>
      <c r="D38" s="1">
        <v>191721.4</v>
      </c>
      <c r="E38" s="21"/>
      <c r="F38" s="10">
        <f>D38+E38</f>
        <v>191721.4</v>
      </c>
    </row>
    <row r="39" spans="1:6" ht="15">
      <c r="A39" s="11" t="s">
        <v>17</v>
      </c>
      <c r="B39" s="12" t="s">
        <v>12</v>
      </c>
      <c r="C39" s="1">
        <v>21210</v>
      </c>
      <c r="D39" s="1">
        <v>67284.52</v>
      </c>
      <c r="E39" s="21"/>
      <c r="F39" s="10">
        <f>D39+E39</f>
        <v>67284.52</v>
      </c>
    </row>
    <row r="40" spans="1:6" ht="15">
      <c r="A40" s="11" t="s">
        <v>18</v>
      </c>
      <c r="B40" s="12" t="s">
        <v>19</v>
      </c>
      <c r="C40" s="1">
        <v>191745</v>
      </c>
      <c r="D40" s="1">
        <v>691389.47</v>
      </c>
      <c r="E40" s="21">
        <f>'92006'!I7</f>
        <v>-592.9</v>
      </c>
      <c r="F40" s="10">
        <f>D40+E40</f>
        <v>690796.57</v>
      </c>
    </row>
    <row r="41" spans="1:6" ht="15">
      <c r="A41" s="11" t="s">
        <v>20</v>
      </c>
      <c r="B41" s="12" t="s">
        <v>19</v>
      </c>
      <c r="C41" s="1">
        <v>0</v>
      </c>
      <c r="D41" s="1">
        <v>0</v>
      </c>
      <c r="E41" s="21"/>
      <c r="F41" s="10">
        <f t="shared" si="1"/>
        <v>0</v>
      </c>
    </row>
    <row r="42" spans="1:6" ht="15">
      <c r="A42" s="11" t="s">
        <v>21</v>
      </c>
      <c r="B42" s="12" t="s">
        <v>22</v>
      </c>
      <c r="C42" s="1">
        <v>142850.6</v>
      </c>
      <c r="D42" s="1">
        <v>882566.4</v>
      </c>
      <c r="E42" s="21">
        <f>'92306'!J7</f>
        <v>592.9</v>
      </c>
      <c r="F42" s="10">
        <f t="shared" si="1"/>
        <v>883159.3</v>
      </c>
    </row>
    <row r="43" spans="1:8" ht="15">
      <c r="A43" s="11" t="s">
        <v>23</v>
      </c>
      <c r="B43" s="12" t="s">
        <v>22</v>
      </c>
      <c r="C43" s="1">
        <v>43995</v>
      </c>
      <c r="D43" s="1">
        <v>43995</v>
      </c>
      <c r="E43" s="9"/>
      <c r="F43" s="10">
        <f t="shared" si="1"/>
        <v>43995</v>
      </c>
      <c r="H43" s="65"/>
    </row>
    <row r="44" spans="1:6" ht="15">
      <c r="A44" s="11" t="s">
        <v>24</v>
      </c>
      <c r="B44" s="12" t="s">
        <v>12</v>
      </c>
      <c r="C44" s="1">
        <v>3425</v>
      </c>
      <c r="D44" s="1">
        <v>5278.19</v>
      </c>
      <c r="E44" s="9"/>
      <c r="F44" s="10">
        <f t="shared" si="1"/>
        <v>5278.19</v>
      </c>
    </row>
    <row r="45" spans="1:6" ht="15">
      <c r="A45" s="11" t="s">
        <v>122</v>
      </c>
      <c r="B45" s="12" t="s">
        <v>22</v>
      </c>
      <c r="C45" s="1">
        <v>0</v>
      </c>
      <c r="D45" s="1">
        <v>77494.69</v>
      </c>
      <c r="E45" s="9"/>
      <c r="F45" s="10">
        <f t="shared" si="1"/>
        <v>77494.69</v>
      </c>
    </row>
    <row r="46" spans="1:6" ht="15">
      <c r="A46" s="11" t="s">
        <v>25</v>
      </c>
      <c r="B46" s="12" t="s">
        <v>22</v>
      </c>
      <c r="C46" s="1">
        <v>0</v>
      </c>
      <c r="D46" s="1">
        <v>5000</v>
      </c>
      <c r="E46" s="9"/>
      <c r="F46" s="10">
        <f t="shared" si="1"/>
        <v>5000</v>
      </c>
    </row>
    <row r="47" spans="1:6" ht="15">
      <c r="A47" s="11" t="s">
        <v>26</v>
      </c>
      <c r="B47" s="12" t="s">
        <v>22</v>
      </c>
      <c r="C47" s="1">
        <v>18000</v>
      </c>
      <c r="D47" s="1">
        <v>72712.56</v>
      </c>
      <c r="E47" s="9"/>
      <c r="F47" s="10">
        <f t="shared" si="1"/>
        <v>72712.56</v>
      </c>
    </row>
    <row r="48" spans="1:6" ht="15">
      <c r="A48" s="11" t="s">
        <v>27</v>
      </c>
      <c r="B48" s="12" t="s">
        <v>22</v>
      </c>
      <c r="C48" s="1">
        <v>0</v>
      </c>
      <c r="D48" s="1">
        <v>4006.28</v>
      </c>
      <c r="E48" s="9"/>
      <c r="F48" s="10">
        <f t="shared" si="1"/>
        <v>4006.28</v>
      </c>
    </row>
    <row r="49" spans="1:6" ht="15">
      <c r="A49" s="11" t="s">
        <v>28</v>
      </c>
      <c r="B49" s="12" t="s">
        <v>22</v>
      </c>
      <c r="C49" s="1">
        <v>0</v>
      </c>
      <c r="D49" s="1">
        <v>121.6</v>
      </c>
      <c r="E49" s="9"/>
      <c r="F49" s="10">
        <f t="shared" si="1"/>
        <v>121.6</v>
      </c>
    </row>
    <row r="50" spans="1:6" ht="15.75" thickBot="1">
      <c r="A50" s="13" t="s">
        <v>29</v>
      </c>
      <c r="B50" s="14" t="s">
        <v>22</v>
      </c>
      <c r="C50" s="22">
        <v>0</v>
      </c>
      <c r="D50" s="22">
        <v>0</v>
      </c>
      <c r="E50" s="15"/>
      <c r="F50" s="16">
        <f t="shared" si="1"/>
        <v>0</v>
      </c>
    </row>
    <row r="51" spans="1:6" ht="15" thickBot="1">
      <c r="A51" s="17" t="s">
        <v>30</v>
      </c>
      <c r="B51" s="18"/>
      <c r="C51" s="19">
        <f>SUM(C33:C50)</f>
        <v>2168899</v>
      </c>
      <c r="D51" s="19">
        <f>SUM(D33:D50)</f>
        <v>7353029.96</v>
      </c>
      <c r="E51" s="19">
        <f>SUM(E33:E50)</f>
        <v>0</v>
      </c>
      <c r="F51" s="20">
        <f>SUM(F33:F50)</f>
        <v>7353029.96</v>
      </c>
    </row>
  </sheetData>
  <sheetProtection/>
  <mergeCells count="3">
    <mergeCell ref="A1:F1"/>
    <mergeCell ref="A3:F3"/>
    <mergeCell ref="A30:F30"/>
  </mergeCells>
  <printOptions horizontalCentered="1"/>
  <pageMargins left="0.3937007874015748" right="0.3937007874015748" top="0.62" bottom="0.59" header="0.17" footer="0.2"/>
  <pageSetup fitToHeight="1" fitToWidth="1"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62"/>
  <sheetViews>
    <sheetView zoomScalePageLayoutView="0" workbookViewId="0" topLeftCell="A13">
      <selection activeCell="I40" sqref="I40"/>
    </sheetView>
  </sheetViews>
  <sheetFormatPr defaultColWidth="9.140625" defaultRowHeight="12.75"/>
  <cols>
    <col min="1" max="1" width="3.8515625" style="6" customWidth="1"/>
    <col min="2" max="2" width="3.421875" style="6" bestFit="1" customWidth="1"/>
    <col min="3" max="3" width="10.00390625" style="6" bestFit="1" customWidth="1"/>
    <col min="4" max="4" width="5.57421875" style="345" customWidth="1"/>
    <col min="5" max="5" width="5.7109375" style="345" customWidth="1"/>
    <col min="6" max="6" width="40.00390625" style="345" customWidth="1"/>
    <col min="7" max="7" width="8.421875" style="345" customWidth="1"/>
    <col min="8" max="8" width="8.140625" style="345" customWidth="1"/>
    <col min="9" max="9" width="9.8515625" style="349" customWidth="1"/>
    <col min="10" max="10" width="10.00390625" style="345" customWidth="1"/>
    <col min="11" max="16384" width="9.140625" style="6" customWidth="1"/>
  </cols>
  <sheetData>
    <row r="1" spans="1:10" ht="18">
      <c r="A1" s="358" t="s">
        <v>232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2.75">
      <c r="A2" s="240"/>
      <c r="B2" s="240"/>
      <c r="C2" s="240"/>
      <c r="D2" s="241"/>
      <c r="E2" s="241"/>
      <c r="F2" s="241"/>
      <c r="G2" s="241"/>
      <c r="H2" s="241"/>
      <c r="I2" s="346"/>
      <c r="J2" s="242"/>
    </row>
    <row r="3" spans="1:10" ht="15.75">
      <c r="A3" s="359" t="s">
        <v>233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ht="13.5" thickBot="1">
      <c r="A4" s="243"/>
      <c r="B4" s="243"/>
      <c r="C4" s="243"/>
      <c r="D4" s="244"/>
      <c r="E4" s="244"/>
      <c r="F4" s="244"/>
      <c r="G4" s="244"/>
      <c r="H4" s="244"/>
      <c r="I4" s="347"/>
      <c r="J4" s="245" t="s">
        <v>234</v>
      </c>
    </row>
    <row r="5" spans="1:10" ht="12.75" customHeight="1" thickBot="1">
      <c r="A5" s="367" t="s">
        <v>235</v>
      </c>
      <c r="B5" s="367" t="s">
        <v>3</v>
      </c>
      <c r="C5" s="370" t="s">
        <v>5</v>
      </c>
      <c r="D5" s="372" t="s">
        <v>6</v>
      </c>
      <c r="E5" s="372" t="s">
        <v>7</v>
      </c>
      <c r="F5" s="354" t="s">
        <v>236</v>
      </c>
      <c r="G5" s="356" t="s">
        <v>115</v>
      </c>
      <c r="H5" s="365" t="s">
        <v>116</v>
      </c>
      <c r="I5" s="360" t="s">
        <v>449</v>
      </c>
      <c r="J5" s="361"/>
    </row>
    <row r="6" spans="1:10" ht="12.75" customHeight="1" thickBot="1">
      <c r="A6" s="368"/>
      <c r="B6" s="369"/>
      <c r="C6" s="371"/>
      <c r="D6" s="373"/>
      <c r="E6" s="373"/>
      <c r="F6" s="355"/>
      <c r="G6" s="357"/>
      <c r="H6" s="366"/>
      <c r="I6" s="348" t="s">
        <v>8</v>
      </c>
      <c r="J6" s="246" t="s">
        <v>117</v>
      </c>
    </row>
    <row r="7" spans="1:10" ht="12.75" customHeight="1" thickBot="1">
      <c r="A7" s="247">
        <v>920</v>
      </c>
      <c r="B7" s="248" t="s">
        <v>4</v>
      </c>
      <c r="C7" s="249" t="s">
        <v>5</v>
      </c>
      <c r="D7" s="250" t="s">
        <v>6</v>
      </c>
      <c r="E7" s="250" t="s">
        <v>7</v>
      </c>
      <c r="F7" s="251" t="s">
        <v>237</v>
      </c>
      <c r="G7" s="252">
        <f>G8+G10+G12+G14+G16+G19+G22+G24+G27+G29+G31+G33+G35+G37+G39+G41</f>
        <v>125605</v>
      </c>
      <c r="H7" s="252">
        <f>H8+H10+H12+H14+H16+H19+H22+H24+H27+H29+H31+H33+H35+H37+H39+H41</f>
        <v>549182.64164</v>
      </c>
      <c r="I7" s="253">
        <f>I8+I10+I12+I14+I16+I19+I22+I24+I27+I29+I31+I33+I35+I37+I39+I41</f>
        <v>-592.9</v>
      </c>
      <c r="J7" s="80">
        <f>J8+J10+J12+J14+J16+J19+J22+J24+J27+J29+J31+J33+J35+J37+J39+J41</f>
        <v>548589.7416400001</v>
      </c>
    </row>
    <row r="8" spans="1:10" ht="12.75" customHeight="1">
      <c r="A8" s="362" t="s">
        <v>109</v>
      </c>
      <c r="B8" s="254" t="s">
        <v>4</v>
      </c>
      <c r="C8" s="255" t="s">
        <v>238</v>
      </c>
      <c r="D8" s="256" t="s">
        <v>2</v>
      </c>
      <c r="E8" s="256" t="s">
        <v>2</v>
      </c>
      <c r="F8" s="257" t="s">
        <v>239</v>
      </c>
      <c r="G8" s="253">
        <f>SUM(G9:G9)</f>
        <v>500</v>
      </c>
      <c r="H8" s="258">
        <f>SUM(H9:H9)</f>
        <v>7500</v>
      </c>
      <c r="I8" s="258">
        <f>SUM(I9:I9)</f>
        <v>0</v>
      </c>
      <c r="J8" s="253">
        <f>SUM(J9:J9)</f>
        <v>7500</v>
      </c>
    </row>
    <row r="9" spans="1:10" ht="12.75" customHeight="1" thickBot="1">
      <c r="A9" s="363"/>
      <c r="B9" s="259"/>
      <c r="C9" s="260"/>
      <c r="D9" s="261">
        <v>2212</v>
      </c>
      <c r="E9" s="261">
        <v>6130</v>
      </c>
      <c r="F9" s="262" t="s">
        <v>240</v>
      </c>
      <c r="G9" s="124">
        <v>500</v>
      </c>
      <c r="H9" s="263">
        <f>500+7000</f>
        <v>7500</v>
      </c>
      <c r="I9" s="263"/>
      <c r="J9" s="124">
        <f>H9+I9</f>
        <v>7500</v>
      </c>
    </row>
    <row r="10" spans="1:10" ht="12.75" customHeight="1">
      <c r="A10" s="363"/>
      <c r="B10" s="264" t="s">
        <v>4</v>
      </c>
      <c r="C10" s="265" t="s">
        <v>241</v>
      </c>
      <c r="D10" s="266" t="s">
        <v>2</v>
      </c>
      <c r="E10" s="266" t="s">
        <v>2</v>
      </c>
      <c r="F10" s="267" t="s">
        <v>242</v>
      </c>
      <c r="G10" s="258">
        <f>G11</f>
        <v>0</v>
      </c>
      <c r="H10" s="258">
        <f>SUM(H11:H11)</f>
        <v>60</v>
      </c>
      <c r="I10" s="258">
        <f>SUM(I11:I11)</f>
        <v>0</v>
      </c>
      <c r="J10" s="253">
        <f>J11</f>
        <v>60</v>
      </c>
    </row>
    <row r="11" spans="1:10" ht="12.75" customHeight="1" thickBot="1">
      <c r="A11" s="363"/>
      <c r="B11" s="268"/>
      <c r="C11" s="269"/>
      <c r="D11" s="270">
        <v>2212</v>
      </c>
      <c r="E11" s="271">
        <v>6121</v>
      </c>
      <c r="F11" s="33" t="s">
        <v>125</v>
      </c>
      <c r="G11" s="272">
        <v>0</v>
      </c>
      <c r="H11" s="113">
        <v>60</v>
      </c>
      <c r="I11" s="113"/>
      <c r="J11" s="124">
        <f>H11+I11</f>
        <v>60</v>
      </c>
    </row>
    <row r="12" spans="1:10" ht="12.75" customHeight="1">
      <c r="A12" s="363"/>
      <c r="B12" s="264" t="s">
        <v>4</v>
      </c>
      <c r="C12" s="273" t="s">
        <v>243</v>
      </c>
      <c r="D12" s="266" t="s">
        <v>2</v>
      </c>
      <c r="E12" s="266" t="s">
        <v>2</v>
      </c>
      <c r="F12" s="274" t="s">
        <v>244</v>
      </c>
      <c r="G12" s="258">
        <f>G13</f>
        <v>0</v>
      </c>
      <c r="H12" s="258">
        <f>H13</f>
        <v>43.2</v>
      </c>
      <c r="I12" s="258">
        <f>SUM(I13:I13)</f>
        <v>0</v>
      </c>
      <c r="J12" s="253">
        <f>J13</f>
        <v>43.2</v>
      </c>
    </row>
    <row r="13" spans="1:10" ht="12.75" customHeight="1" thickBot="1">
      <c r="A13" s="363"/>
      <c r="B13" s="268"/>
      <c r="C13" s="269"/>
      <c r="D13" s="270">
        <v>2212</v>
      </c>
      <c r="E13" s="261">
        <v>6119</v>
      </c>
      <c r="F13" s="275" t="s">
        <v>245</v>
      </c>
      <c r="G13" s="272">
        <v>0</v>
      </c>
      <c r="H13" s="272">
        <v>43.2</v>
      </c>
      <c r="I13" s="113"/>
      <c r="J13" s="124">
        <f>H13+I13</f>
        <v>43.2</v>
      </c>
    </row>
    <row r="14" spans="1:10" ht="12.75" customHeight="1">
      <c r="A14" s="363"/>
      <c r="B14" s="264" t="s">
        <v>4</v>
      </c>
      <c r="C14" s="273" t="s">
        <v>246</v>
      </c>
      <c r="D14" s="266" t="s">
        <v>2</v>
      </c>
      <c r="E14" s="266" t="s">
        <v>2</v>
      </c>
      <c r="F14" s="274" t="s">
        <v>247</v>
      </c>
      <c r="G14" s="258">
        <f>G15</f>
        <v>0</v>
      </c>
      <c r="H14" s="258">
        <f>H15</f>
        <v>39.97973999999999</v>
      </c>
      <c r="I14" s="258">
        <f>SUM(I15:I15)</f>
        <v>0</v>
      </c>
      <c r="J14" s="253">
        <f>J15</f>
        <v>39.97973999999999</v>
      </c>
    </row>
    <row r="15" spans="1:10" ht="12.75" customHeight="1" thickBot="1">
      <c r="A15" s="363"/>
      <c r="B15" s="268"/>
      <c r="C15" s="269"/>
      <c r="D15" s="270">
        <v>2212</v>
      </c>
      <c r="E15" s="261">
        <v>6121</v>
      </c>
      <c r="F15" s="276" t="s">
        <v>125</v>
      </c>
      <c r="G15" s="272">
        <v>0</v>
      </c>
      <c r="H15" s="277">
        <f>92.64974-50.5-2.17</f>
        <v>39.97973999999999</v>
      </c>
      <c r="I15" s="113"/>
      <c r="J15" s="124">
        <f>H15+I15</f>
        <v>39.97973999999999</v>
      </c>
    </row>
    <row r="16" spans="1:10" ht="12.75" customHeight="1">
      <c r="A16" s="363"/>
      <c r="B16" s="278" t="s">
        <v>4</v>
      </c>
      <c r="C16" s="273" t="s">
        <v>248</v>
      </c>
      <c r="D16" s="279" t="s">
        <v>2</v>
      </c>
      <c r="E16" s="279" t="s">
        <v>2</v>
      </c>
      <c r="F16" s="280" t="s">
        <v>249</v>
      </c>
      <c r="G16" s="253">
        <f>SUM(G17:G18)</f>
        <v>0</v>
      </c>
      <c r="H16" s="281">
        <f>SUM(H17:H18)</f>
        <v>38914.58899999999</v>
      </c>
      <c r="I16" s="281">
        <f>SUM(I17:I18)</f>
        <v>0</v>
      </c>
      <c r="J16" s="281">
        <f>SUM(J17:J18)</f>
        <v>38914.58899999999</v>
      </c>
    </row>
    <row r="17" spans="1:10" ht="12.75" customHeight="1">
      <c r="A17" s="363"/>
      <c r="B17" s="282"/>
      <c r="C17" s="283"/>
      <c r="D17" s="271">
        <v>2212</v>
      </c>
      <c r="E17" s="271">
        <v>6121</v>
      </c>
      <c r="F17" s="33" t="s">
        <v>125</v>
      </c>
      <c r="G17" s="113">
        <v>0</v>
      </c>
      <c r="H17" s="113">
        <v>26345.38</v>
      </c>
      <c r="I17" s="113"/>
      <c r="J17" s="113">
        <f>H17+I17</f>
        <v>26345.38</v>
      </c>
    </row>
    <row r="18" spans="1:10" ht="12.75" customHeight="1" thickBot="1">
      <c r="A18" s="363"/>
      <c r="B18" s="284"/>
      <c r="C18" s="285" t="s">
        <v>250</v>
      </c>
      <c r="D18" s="270">
        <v>2212</v>
      </c>
      <c r="E18" s="137">
        <v>6121</v>
      </c>
      <c r="F18" s="159" t="s">
        <v>251</v>
      </c>
      <c r="G18" s="272">
        <v>0</v>
      </c>
      <c r="H18" s="272">
        <f>48122.829-35553.62</f>
        <v>12569.208999999995</v>
      </c>
      <c r="I18" s="140"/>
      <c r="J18" s="101">
        <f>H18+I18</f>
        <v>12569.208999999995</v>
      </c>
    </row>
    <row r="19" spans="1:10" ht="12.75" customHeight="1">
      <c r="A19" s="363"/>
      <c r="B19" s="278" t="s">
        <v>4</v>
      </c>
      <c r="C19" s="273" t="s">
        <v>252</v>
      </c>
      <c r="D19" s="279" t="s">
        <v>2</v>
      </c>
      <c r="E19" s="279" t="s">
        <v>2</v>
      </c>
      <c r="F19" s="286" t="s">
        <v>253</v>
      </c>
      <c r="G19" s="253">
        <f>SUM(G20:G21)</f>
        <v>14090</v>
      </c>
      <c r="H19" s="281">
        <f>SUM(H20:H21)</f>
        <v>98096.338</v>
      </c>
      <c r="I19" s="281">
        <f>SUM(I20:I21)</f>
        <v>0</v>
      </c>
      <c r="J19" s="281">
        <f>SUM(J20:J21)</f>
        <v>98096.338</v>
      </c>
    </row>
    <row r="20" spans="1:10" ht="12.75" customHeight="1">
      <c r="A20" s="363"/>
      <c r="B20" s="282"/>
      <c r="C20" s="283"/>
      <c r="D20" s="271">
        <v>2212</v>
      </c>
      <c r="E20" s="271">
        <v>6121</v>
      </c>
      <c r="F20" s="33" t="s">
        <v>125</v>
      </c>
      <c r="G20" s="113">
        <v>14090</v>
      </c>
      <c r="H20" s="113">
        <f>14090+75470.03</f>
        <v>89560.03</v>
      </c>
      <c r="I20" s="113"/>
      <c r="J20" s="113">
        <f>H20+I20</f>
        <v>89560.03</v>
      </c>
    </row>
    <row r="21" spans="1:10" ht="12.75" customHeight="1" thickBot="1">
      <c r="A21" s="363"/>
      <c r="B21" s="284"/>
      <c r="C21" s="285" t="s">
        <v>250</v>
      </c>
      <c r="D21" s="270">
        <v>2212</v>
      </c>
      <c r="E21" s="137">
        <v>6121</v>
      </c>
      <c r="F21" s="159" t="s">
        <v>251</v>
      </c>
      <c r="G21" s="272">
        <v>0</v>
      </c>
      <c r="H21" s="272">
        <f>92309.827-83773.519</f>
        <v>8536.308000000005</v>
      </c>
      <c r="I21" s="140"/>
      <c r="J21" s="101">
        <f>H21+I21</f>
        <v>8536.308000000005</v>
      </c>
    </row>
    <row r="22" spans="1:10" ht="26.25" customHeight="1">
      <c r="A22" s="363"/>
      <c r="B22" s="278" t="s">
        <v>4</v>
      </c>
      <c r="C22" s="273" t="s">
        <v>254</v>
      </c>
      <c r="D22" s="279" t="s">
        <v>2</v>
      </c>
      <c r="E22" s="279" t="s">
        <v>2</v>
      </c>
      <c r="F22" s="274" t="s">
        <v>255</v>
      </c>
      <c r="G22" s="258">
        <f>SUM(G23:G23)</f>
        <v>36310</v>
      </c>
      <c r="H22" s="258">
        <f>SUM(H23:H23)</f>
        <v>69775.03</v>
      </c>
      <c r="I22" s="258">
        <f>SUM(I23:I23)</f>
        <v>0</v>
      </c>
      <c r="J22" s="253">
        <f>J23</f>
        <v>69775.03</v>
      </c>
    </row>
    <row r="23" spans="1:10" ht="12.75" customHeight="1" thickBot="1">
      <c r="A23" s="363"/>
      <c r="B23" s="282"/>
      <c r="C23" s="287"/>
      <c r="D23" s="271">
        <v>2212</v>
      </c>
      <c r="E23" s="271">
        <v>6121</v>
      </c>
      <c r="F23" s="33" t="s">
        <v>125</v>
      </c>
      <c r="G23" s="113">
        <v>36310</v>
      </c>
      <c r="H23" s="113">
        <f>36310+33465.03</f>
        <v>69775.03</v>
      </c>
      <c r="I23" s="113"/>
      <c r="J23" s="124">
        <f>H23+I23</f>
        <v>69775.03</v>
      </c>
    </row>
    <row r="24" spans="1:10" ht="26.25" customHeight="1">
      <c r="A24" s="363"/>
      <c r="B24" s="278" t="s">
        <v>4</v>
      </c>
      <c r="C24" s="273" t="s">
        <v>256</v>
      </c>
      <c r="D24" s="279" t="s">
        <v>2</v>
      </c>
      <c r="E24" s="279" t="s">
        <v>2</v>
      </c>
      <c r="F24" s="274" t="s">
        <v>257</v>
      </c>
      <c r="G24" s="253">
        <f>SUM(G25:G26)</f>
        <v>17205</v>
      </c>
      <c r="H24" s="281">
        <f>SUM(H25:H26)</f>
        <v>95864.098</v>
      </c>
      <c r="I24" s="281">
        <f>SUM(I25:I26)</f>
        <v>0</v>
      </c>
      <c r="J24" s="281">
        <f>SUM(J25:J26)</f>
        <v>95864.098</v>
      </c>
    </row>
    <row r="25" spans="1:10" ht="12.75" customHeight="1">
      <c r="A25" s="363"/>
      <c r="B25" s="282"/>
      <c r="C25" s="288"/>
      <c r="D25" s="271">
        <v>2212</v>
      </c>
      <c r="E25" s="271">
        <v>6121</v>
      </c>
      <c r="F25" s="33" t="s">
        <v>125</v>
      </c>
      <c r="G25" s="113">
        <v>17205</v>
      </c>
      <c r="H25" s="113">
        <f>17205+23200.04</f>
        <v>40405.04</v>
      </c>
      <c r="I25" s="113"/>
      <c r="J25" s="113">
        <f>H25+I25</f>
        <v>40405.04</v>
      </c>
    </row>
    <row r="26" spans="1:10" ht="12.75" customHeight="1" thickBot="1">
      <c r="A26" s="363"/>
      <c r="B26" s="284"/>
      <c r="C26" s="285" t="s">
        <v>250</v>
      </c>
      <c r="D26" s="270">
        <v>2212</v>
      </c>
      <c r="E26" s="137">
        <v>6121</v>
      </c>
      <c r="F26" s="159" t="s">
        <v>251</v>
      </c>
      <c r="G26" s="272">
        <v>0</v>
      </c>
      <c r="H26" s="272">
        <f>80090.632-24631.574</f>
        <v>55459.058</v>
      </c>
      <c r="I26" s="140"/>
      <c r="J26" s="101">
        <f>H26+I26</f>
        <v>55459.058</v>
      </c>
    </row>
    <row r="27" spans="1:10" ht="22.5">
      <c r="A27" s="363"/>
      <c r="B27" s="289" t="s">
        <v>4</v>
      </c>
      <c r="C27" s="273" t="s">
        <v>258</v>
      </c>
      <c r="D27" s="266" t="s">
        <v>2</v>
      </c>
      <c r="E27" s="266" t="s">
        <v>2</v>
      </c>
      <c r="F27" s="274" t="s">
        <v>259</v>
      </c>
      <c r="G27" s="253">
        <f>SUM(G28:G28)</f>
        <v>0</v>
      </c>
      <c r="H27" s="253">
        <f>SUM(H28:H28)</f>
        <v>605</v>
      </c>
      <c r="I27" s="258">
        <f>SUM(I28:I28)</f>
        <v>0</v>
      </c>
      <c r="J27" s="253">
        <f>J28</f>
        <v>605</v>
      </c>
    </row>
    <row r="28" spans="1:10" ht="12.75" customHeight="1" thickBot="1">
      <c r="A28" s="363"/>
      <c r="B28" s="290"/>
      <c r="C28" s="287"/>
      <c r="D28" s="270">
        <v>2242</v>
      </c>
      <c r="E28" s="261">
        <v>6119</v>
      </c>
      <c r="F28" s="275" t="s">
        <v>245</v>
      </c>
      <c r="G28" s="124">
        <v>0</v>
      </c>
      <c r="H28" s="124">
        <v>605</v>
      </c>
      <c r="I28" s="263"/>
      <c r="J28" s="124">
        <f>H28+I28</f>
        <v>605</v>
      </c>
    </row>
    <row r="29" spans="1:10" ht="12.75" customHeight="1">
      <c r="A29" s="363"/>
      <c r="B29" s="289" t="s">
        <v>4</v>
      </c>
      <c r="C29" s="273" t="s">
        <v>260</v>
      </c>
      <c r="D29" s="266" t="s">
        <v>2</v>
      </c>
      <c r="E29" s="266" t="s">
        <v>2</v>
      </c>
      <c r="F29" s="274" t="s">
        <v>261</v>
      </c>
      <c r="G29" s="253">
        <f>SUM(G30:G30)</f>
        <v>22000</v>
      </c>
      <c r="H29" s="253">
        <f>SUM(H30:H30)</f>
        <v>25859.2604</v>
      </c>
      <c r="I29" s="258">
        <f>SUM(I30:I30)</f>
        <v>0</v>
      </c>
      <c r="J29" s="253">
        <f>J30</f>
        <v>25859.2604</v>
      </c>
    </row>
    <row r="30" spans="1:10" ht="12.75" customHeight="1" thickBot="1">
      <c r="A30" s="363"/>
      <c r="B30" s="290"/>
      <c r="C30" s="287" t="s">
        <v>262</v>
      </c>
      <c r="D30" s="270">
        <v>2212</v>
      </c>
      <c r="E30" s="261">
        <v>6342</v>
      </c>
      <c r="F30" s="291" t="s">
        <v>263</v>
      </c>
      <c r="G30" s="124">
        <v>22000</v>
      </c>
      <c r="H30" s="124">
        <f>22000+3859.2604</f>
        <v>25859.2604</v>
      </c>
      <c r="I30" s="263"/>
      <c r="J30" s="124">
        <f>H30+I30</f>
        <v>25859.2604</v>
      </c>
    </row>
    <row r="31" spans="1:10" ht="22.5">
      <c r="A31" s="363"/>
      <c r="B31" s="278" t="s">
        <v>4</v>
      </c>
      <c r="C31" s="273" t="s">
        <v>264</v>
      </c>
      <c r="D31" s="279" t="s">
        <v>2</v>
      </c>
      <c r="E31" s="279" t="s">
        <v>2</v>
      </c>
      <c r="F31" s="274" t="s">
        <v>265</v>
      </c>
      <c r="G31" s="258">
        <f>SUM(G32:G32)</f>
        <v>4500</v>
      </c>
      <c r="H31" s="258">
        <f>SUM(H32:H32)</f>
        <v>4156.19</v>
      </c>
      <c r="I31" s="258">
        <f>SUM(I32:I32)</f>
        <v>0</v>
      </c>
      <c r="J31" s="253">
        <f>J32</f>
        <v>4156.19</v>
      </c>
    </row>
    <row r="32" spans="1:10" ht="13.5" thickBot="1">
      <c r="A32" s="363"/>
      <c r="B32" s="292"/>
      <c r="C32" s="287"/>
      <c r="D32" s="270">
        <v>2212</v>
      </c>
      <c r="E32" s="261">
        <v>6121</v>
      </c>
      <c r="F32" s="33" t="s">
        <v>125</v>
      </c>
      <c r="G32" s="124">
        <v>4500</v>
      </c>
      <c r="H32" s="124">
        <f>4500-283.81-60</f>
        <v>4156.19</v>
      </c>
      <c r="I32" s="124"/>
      <c r="J32" s="124">
        <f>H32+I32</f>
        <v>4156.19</v>
      </c>
    </row>
    <row r="33" spans="1:10" ht="12.75">
      <c r="A33" s="363"/>
      <c r="B33" s="278" t="s">
        <v>4</v>
      </c>
      <c r="C33" s="273" t="s">
        <v>266</v>
      </c>
      <c r="D33" s="279" t="s">
        <v>2</v>
      </c>
      <c r="E33" s="279" t="s">
        <v>2</v>
      </c>
      <c r="F33" s="280" t="s">
        <v>267</v>
      </c>
      <c r="G33" s="258">
        <f>SUM(G34:G34)</f>
        <v>9150</v>
      </c>
      <c r="H33" s="258">
        <f>SUM(H34:H34)</f>
        <v>9749.337</v>
      </c>
      <c r="I33" s="258">
        <f>SUM(I34:I34)</f>
        <v>0</v>
      </c>
      <c r="J33" s="253">
        <f>J34</f>
        <v>9749.337</v>
      </c>
    </row>
    <row r="34" spans="1:10" ht="13.5" thickBot="1">
      <c r="A34" s="363"/>
      <c r="B34" s="292"/>
      <c r="C34" s="287"/>
      <c r="D34" s="270">
        <v>2212</v>
      </c>
      <c r="E34" s="261">
        <v>6121</v>
      </c>
      <c r="F34" s="33" t="s">
        <v>125</v>
      </c>
      <c r="G34" s="124">
        <v>9150</v>
      </c>
      <c r="H34" s="124">
        <f>9150+599.337</f>
        <v>9749.337</v>
      </c>
      <c r="I34" s="124"/>
      <c r="J34" s="124">
        <f>H34+I34</f>
        <v>9749.337</v>
      </c>
    </row>
    <row r="35" spans="1:10" ht="12.75">
      <c r="A35" s="363"/>
      <c r="B35" s="278" t="s">
        <v>4</v>
      </c>
      <c r="C35" s="273" t="s">
        <v>268</v>
      </c>
      <c r="D35" s="279" t="s">
        <v>2</v>
      </c>
      <c r="E35" s="279" t="s">
        <v>2</v>
      </c>
      <c r="F35" s="280" t="s">
        <v>269</v>
      </c>
      <c r="G35" s="258">
        <f>SUM(G36:G36)</f>
        <v>6400</v>
      </c>
      <c r="H35" s="258">
        <f>SUM(H36:H36)</f>
        <v>6950.55</v>
      </c>
      <c r="I35" s="258">
        <f>SUM(I36:I36)</f>
        <v>0</v>
      </c>
      <c r="J35" s="253">
        <f>J36</f>
        <v>6950.55</v>
      </c>
    </row>
    <row r="36" spans="1:10" ht="13.5" thickBot="1">
      <c r="A36" s="363"/>
      <c r="B36" s="292"/>
      <c r="C36" s="287"/>
      <c r="D36" s="270">
        <v>2212</v>
      </c>
      <c r="E36" s="261">
        <v>6121</v>
      </c>
      <c r="F36" s="33" t="s">
        <v>125</v>
      </c>
      <c r="G36" s="124">
        <v>6400</v>
      </c>
      <c r="H36" s="124">
        <f>6400+550.55</f>
        <v>6950.55</v>
      </c>
      <c r="I36" s="124"/>
      <c r="J36" s="124">
        <f>H36+I36</f>
        <v>6950.55</v>
      </c>
    </row>
    <row r="37" spans="1:10" ht="12.75">
      <c r="A37" s="363"/>
      <c r="B37" s="278" t="s">
        <v>4</v>
      </c>
      <c r="C37" s="273" t="s">
        <v>270</v>
      </c>
      <c r="D37" s="279" t="s">
        <v>2</v>
      </c>
      <c r="E37" s="279" t="s">
        <v>2</v>
      </c>
      <c r="F37" s="280" t="s">
        <v>271</v>
      </c>
      <c r="G37" s="258">
        <f>SUM(G38:G38)</f>
        <v>15450</v>
      </c>
      <c r="H37" s="258">
        <f>SUM(H38:H38)</f>
        <v>15793.882</v>
      </c>
      <c r="I37" s="258">
        <f>SUM(I38:I38)</f>
        <v>0</v>
      </c>
      <c r="J37" s="253">
        <f>J38</f>
        <v>15793.882</v>
      </c>
    </row>
    <row r="38" spans="1:10" ht="13.5" thickBot="1">
      <c r="A38" s="363"/>
      <c r="B38" s="292"/>
      <c r="C38" s="287"/>
      <c r="D38" s="270">
        <v>2212</v>
      </c>
      <c r="E38" s="261">
        <v>6121</v>
      </c>
      <c r="F38" s="33" t="s">
        <v>125</v>
      </c>
      <c r="G38" s="124">
        <v>15450</v>
      </c>
      <c r="H38" s="124">
        <f>15450+343.882</f>
        <v>15793.882</v>
      </c>
      <c r="I38" s="124"/>
      <c r="J38" s="124">
        <f>H38+I38</f>
        <v>15793.882</v>
      </c>
    </row>
    <row r="39" spans="1:10" ht="22.5">
      <c r="A39" s="363"/>
      <c r="B39" s="278" t="s">
        <v>4</v>
      </c>
      <c r="C39" s="273" t="s">
        <v>272</v>
      </c>
      <c r="D39" s="279" t="s">
        <v>2</v>
      </c>
      <c r="E39" s="279" t="s">
        <v>2</v>
      </c>
      <c r="F39" s="293" t="s">
        <v>273</v>
      </c>
      <c r="G39" s="258">
        <f>SUM(G40:G40)</f>
        <v>0</v>
      </c>
      <c r="H39" s="258">
        <f>SUM(H40:H40)</f>
        <v>3000</v>
      </c>
      <c r="I39" s="258">
        <f>SUM(I40:I40)</f>
        <v>-592.9</v>
      </c>
      <c r="J39" s="253">
        <f>J40</f>
        <v>2407.1</v>
      </c>
    </row>
    <row r="40" spans="1:10" ht="13.5" thickBot="1">
      <c r="A40" s="363"/>
      <c r="B40" s="292"/>
      <c r="C40" s="287"/>
      <c r="D40" s="270">
        <v>2212</v>
      </c>
      <c r="E40" s="294">
        <v>5331</v>
      </c>
      <c r="F40" s="295" t="s">
        <v>274</v>
      </c>
      <c r="G40" s="124">
        <v>0</v>
      </c>
      <c r="H40" s="124">
        <v>3000</v>
      </c>
      <c r="I40" s="124">
        <v>-592.9</v>
      </c>
      <c r="J40" s="124">
        <f>H40+I40</f>
        <v>2407.1</v>
      </c>
    </row>
    <row r="41" spans="1:10" s="301" customFormat="1" ht="13.5" thickBot="1">
      <c r="A41" s="363"/>
      <c r="B41" s="296" t="s">
        <v>4</v>
      </c>
      <c r="C41" s="297" t="s">
        <v>2</v>
      </c>
      <c r="D41" s="298" t="s">
        <v>2</v>
      </c>
      <c r="E41" s="298" t="s">
        <v>2</v>
      </c>
      <c r="F41" s="299" t="s">
        <v>275</v>
      </c>
      <c r="G41" s="300">
        <f>G42+G45+G48+G51+G55+G59+G63+G67+G71+G75+G79+G83+G87+G91+G95+G99+G103+G107+G110+G113+G116+G120+G123+G127+G130+G134+G137+G141+G145+G149+G153+G157+G160+G164+G168+G172+G176+G180+G184+G188+G192+G196+G200+G204+G208+G212+G215+G219+G223+G227+G231+G235+G239+G243+G247+G250+G254+G258+G262+G266+G269+G273+G277+G281+G285+G289+G293+G296+G300+G303+G306+G309+G313+G317+G321+G325+G329+G333+G337+G341+G344+G348+G352+G356</f>
        <v>0</v>
      </c>
      <c r="H41" s="300">
        <f>H42+H45+H48+H51+H55+H59+H63+H67+H71+H75+H79+H83+H87+H91+H95+H99+H103+H107+H110+H113+H116+H120+H123+H127+H130+H134+H137+H141+H145+H149+H153+H157+H160+H164+H168+H172+H176+H180+H184+H188+H192+H196+H200+H204+H208+H212+H215+H219+H223+H227+H231+H235+H239+H243+H247+H250+H254+H258+H262+H266+H269+H273+H277+H281+H285+H289+H293+H296+H300+H303+H306+H309+H313+H317+H321+H325+H329+H333+H337+H341+H344+H348+H352+H356</f>
        <v>172775.18750000012</v>
      </c>
      <c r="I41" s="300">
        <f>I42+I45+I48+I51+I55+I59+I63+I67+I71+I75+I79+I83+I87+I91+I95+I99+I103+I107+I110+I113+I116+I120+I123+I127+I130+I134+I137+I141+I145+I149+I153+I157+I160+I164+I168+I172+I176+I180+I184+I188+I192+I196+I200+I204+I208+I212+I215+I219+I223+I227+I231+I235+I239+I243+I247+I250+I254+I258+I262+I266+I269+I273+I277+I281+I285+I289+I293+I296+I300+I303+I306+I309+I313+I317+I321+I325+I329+I333+I337+I341+I344+I348+I352+I356</f>
        <v>0</v>
      </c>
      <c r="J41" s="300">
        <f>J42+J45+J48+J51+J55+J59+J63+J67+J71+J75+J79+J83+J87+J91+J95+J99+J103+J107+J110+J113+J116+J120+J123+J127+J130+J134+J137+J141+J145+J149+J153+J157+J160+J164+J168+J172+J176+J180+J184+J188+J192+J196+J200+J204+J208+J212+J215+J219+J223+J227+J231+J235+J239+J243+J247+J250+J254+J258+J262+J266+J269+J273+J277+J281+J285+J289+J293+J296+J300+J303+J306+J309+J313+J317+J321+J325+J329+J333+J337+J341+J344+J348+J352+J356</f>
        <v>172775.18750000012</v>
      </c>
    </row>
    <row r="42" spans="1:10" s="301" customFormat="1" ht="12.75" hidden="1">
      <c r="A42" s="363"/>
      <c r="B42" s="302" t="s">
        <v>4</v>
      </c>
      <c r="C42" s="303" t="s">
        <v>276</v>
      </c>
      <c r="D42" s="279" t="s">
        <v>2</v>
      </c>
      <c r="E42" s="279" t="s">
        <v>2</v>
      </c>
      <c r="F42" s="280" t="s">
        <v>277</v>
      </c>
      <c r="G42" s="253">
        <f>SUM(G43:G44)</f>
        <v>0</v>
      </c>
      <c r="H42" s="281">
        <f>SUM(H43:H44)</f>
        <v>6955.410499999996</v>
      </c>
      <c r="I42" s="253">
        <f>SUM(I43:I44)</f>
        <v>0</v>
      </c>
      <c r="J42" s="253">
        <f>SUM(J43:J44)</f>
        <v>6955.410499999996</v>
      </c>
    </row>
    <row r="43" spans="1:10" s="301" customFormat="1" ht="12.75" hidden="1">
      <c r="A43" s="363"/>
      <c r="B43" s="304"/>
      <c r="C43" s="305"/>
      <c r="D43" s="271">
        <v>2212</v>
      </c>
      <c r="E43" s="306">
        <v>5901</v>
      </c>
      <c r="F43" s="307" t="s">
        <v>150</v>
      </c>
      <c r="G43" s="308">
        <v>0</v>
      </c>
      <c r="H43" s="113">
        <f>4100-338.8+21824.1875-1267.3645-2642.436-6805.079-11724.454</f>
        <v>3146.054</v>
      </c>
      <c r="I43" s="113"/>
      <c r="J43" s="309">
        <f>H43+I43</f>
        <v>3146.054</v>
      </c>
    </row>
    <row r="44" spans="1:10" s="301" customFormat="1" ht="13.5" hidden="1" thickBot="1">
      <c r="A44" s="363"/>
      <c r="B44" s="310"/>
      <c r="C44" s="311" t="s">
        <v>278</v>
      </c>
      <c r="D44" s="270">
        <v>2212</v>
      </c>
      <c r="E44" s="312">
        <v>5901</v>
      </c>
      <c r="F44" s="313" t="s">
        <v>150</v>
      </c>
      <c r="G44" s="188">
        <v>0</v>
      </c>
      <c r="H44" s="202">
        <f>146851-9101.5345-60600.018-85064.545+11724.454</f>
        <v>3809.3564999999962</v>
      </c>
      <c r="I44" s="188"/>
      <c r="J44" s="188">
        <f>H44+I44</f>
        <v>3809.3564999999962</v>
      </c>
    </row>
    <row r="45" spans="1:10" ht="12" customHeight="1" hidden="1">
      <c r="A45" s="363"/>
      <c r="B45" s="314" t="s">
        <v>4</v>
      </c>
      <c r="C45" s="273" t="s">
        <v>279</v>
      </c>
      <c r="D45" s="279" t="s">
        <v>2</v>
      </c>
      <c r="E45" s="279" t="s">
        <v>2</v>
      </c>
      <c r="F45" s="280" t="s">
        <v>280</v>
      </c>
      <c r="G45" s="253">
        <f>SUM(G46:G47)</f>
        <v>0</v>
      </c>
      <c r="H45" s="281">
        <f>SUM(H46:H47)</f>
        <v>2062.647</v>
      </c>
      <c r="I45" s="253">
        <f>SUM(I46:I47)</f>
        <v>0</v>
      </c>
      <c r="J45" s="253">
        <f>SUM(J46:J47)</f>
        <v>2062.647</v>
      </c>
    </row>
    <row r="46" spans="1:10" ht="12.75" hidden="1">
      <c r="A46" s="363"/>
      <c r="B46" s="282"/>
      <c r="C46" s="315" t="s">
        <v>278</v>
      </c>
      <c r="D46" s="271">
        <v>2212</v>
      </c>
      <c r="E46" s="306">
        <v>5169</v>
      </c>
      <c r="F46" s="198" t="s">
        <v>32</v>
      </c>
      <c r="G46" s="113">
        <v>0</v>
      </c>
      <c r="H46" s="316">
        <f>35.09+22.99</f>
        <v>58.08</v>
      </c>
      <c r="I46" s="113"/>
      <c r="J46" s="113">
        <f>H46+I46</f>
        <v>58.08</v>
      </c>
    </row>
    <row r="47" spans="1:10" ht="12" customHeight="1" hidden="1" thickBot="1">
      <c r="A47" s="363"/>
      <c r="B47" s="282"/>
      <c r="C47" s="283"/>
      <c r="D47" s="271">
        <v>2212</v>
      </c>
      <c r="E47" s="306">
        <v>5171</v>
      </c>
      <c r="F47" s="307" t="s">
        <v>281</v>
      </c>
      <c r="G47" s="113">
        <v>0</v>
      </c>
      <c r="H47" s="113">
        <f>2004.567*0.15+0.00045+(2004.567*0.85-0.00045)</f>
        <v>2004.567</v>
      </c>
      <c r="I47" s="113"/>
      <c r="J47" s="113">
        <f>H47+I47</f>
        <v>2004.567</v>
      </c>
    </row>
    <row r="48" spans="1:10" ht="12" customHeight="1" hidden="1">
      <c r="A48" s="363"/>
      <c r="B48" s="314" t="s">
        <v>4</v>
      </c>
      <c r="C48" s="273" t="s">
        <v>282</v>
      </c>
      <c r="D48" s="279" t="s">
        <v>2</v>
      </c>
      <c r="E48" s="279" t="s">
        <v>2</v>
      </c>
      <c r="F48" s="280" t="s">
        <v>283</v>
      </c>
      <c r="G48" s="253">
        <f>SUM(G49:G50)</f>
        <v>0</v>
      </c>
      <c r="H48" s="281">
        <f>SUM(H49:H50)</f>
        <v>1245.086</v>
      </c>
      <c r="I48" s="253">
        <f>SUM(I49:I50)</f>
        <v>0</v>
      </c>
      <c r="J48" s="253">
        <f>SUM(J49:J50)</f>
        <v>1245.086</v>
      </c>
    </row>
    <row r="49" spans="1:10" ht="12.75" hidden="1">
      <c r="A49" s="363"/>
      <c r="B49" s="282"/>
      <c r="C49" s="315" t="s">
        <v>278</v>
      </c>
      <c r="D49" s="271">
        <v>2212</v>
      </c>
      <c r="E49" s="306">
        <v>5169</v>
      </c>
      <c r="F49" s="198" t="s">
        <v>32</v>
      </c>
      <c r="G49" s="113">
        <v>0</v>
      </c>
      <c r="H49" s="316">
        <f>21.538+37.752</f>
        <v>59.290000000000006</v>
      </c>
      <c r="I49" s="101"/>
      <c r="J49" s="113">
        <f>H49+I49</f>
        <v>59.290000000000006</v>
      </c>
    </row>
    <row r="50" spans="1:10" ht="12" customHeight="1" hidden="1" thickBot="1">
      <c r="A50" s="363"/>
      <c r="B50" s="310"/>
      <c r="C50" s="287"/>
      <c r="D50" s="270">
        <v>2212</v>
      </c>
      <c r="E50" s="312">
        <v>5171</v>
      </c>
      <c r="F50" s="313" t="s">
        <v>281</v>
      </c>
      <c r="G50" s="188">
        <v>0</v>
      </c>
      <c r="H50" s="188">
        <f>1185.796*0.15+0.0001+(1185.796*0.85-0.0001)</f>
        <v>1185.796</v>
      </c>
      <c r="I50" s="188"/>
      <c r="J50" s="188">
        <f>H50+I50</f>
        <v>1185.796</v>
      </c>
    </row>
    <row r="51" spans="1:10" s="301" customFormat="1" ht="12.75" hidden="1">
      <c r="A51" s="363"/>
      <c r="B51" s="314" t="s">
        <v>4</v>
      </c>
      <c r="C51" s="317" t="s">
        <v>284</v>
      </c>
      <c r="D51" s="318" t="s">
        <v>2</v>
      </c>
      <c r="E51" s="318" t="s">
        <v>2</v>
      </c>
      <c r="F51" s="319" t="s">
        <v>285</v>
      </c>
      <c r="G51" s="320">
        <f>SUM(G52:G54)</f>
        <v>0</v>
      </c>
      <c r="H51" s="321">
        <f>SUM(H52:H54)</f>
        <v>2223.101</v>
      </c>
      <c r="I51" s="320">
        <f>SUM(I52:I54)</f>
        <v>0</v>
      </c>
      <c r="J51" s="320">
        <f>SUM(J52:J54)</f>
        <v>2223.101</v>
      </c>
    </row>
    <row r="52" spans="1:10" s="301" customFormat="1" ht="12.75" hidden="1">
      <c r="A52" s="363"/>
      <c r="B52" s="304"/>
      <c r="C52" s="322"/>
      <c r="D52" s="271">
        <v>2212</v>
      </c>
      <c r="E52" s="306">
        <v>5169</v>
      </c>
      <c r="F52" s="198" t="s">
        <v>32</v>
      </c>
      <c r="G52" s="308">
        <v>0</v>
      </c>
      <c r="H52" s="113">
        <f>20*1.21+2.5*1.21</f>
        <v>27.224999999999998</v>
      </c>
      <c r="I52" s="101"/>
      <c r="J52" s="309">
        <f>H52+I52</f>
        <v>27.224999999999998</v>
      </c>
    </row>
    <row r="53" spans="1:10" s="301" customFormat="1" ht="12.75" hidden="1">
      <c r="A53" s="363"/>
      <c r="B53" s="304"/>
      <c r="C53" s="315" t="s">
        <v>278</v>
      </c>
      <c r="D53" s="271">
        <v>2212</v>
      </c>
      <c r="E53" s="306">
        <v>5169</v>
      </c>
      <c r="F53" s="198" t="s">
        <v>32</v>
      </c>
      <c r="G53" s="308">
        <v>0</v>
      </c>
      <c r="H53" s="113">
        <f>32.148+12.705</f>
        <v>44.853</v>
      </c>
      <c r="I53" s="101"/>
      <c r="J53" s="309">
        <f>H53+I53</f>
        <v>44.853</v>
      </c>
    </row>
    <row r="54" spans="1:10" ht="13.5" hidden="1" thickBot="1">
      <c r="A54" s="363"/>
      <c r="B54" s="310"/>
      <c r="C54" s="311" t="s">
        <v>278</v>
      </c>
      <c r="D54" s="270">
        <v>2212</v>
      </c>
      <c r="E54" s="312">
        <v>5171</v>
      </c>
      <c r="F54" s="313" t="s">
        <v>281</v>
      </c>
      <c r="G54" s="188">
        <v>0</v>
      </c>
      <c r="H54" s="124">
        <v>2151.023</v>
      </c>
      <c r="I54" s="124"/>
      <c r="J54" s="188">
        <f>H54+I54</f>
        <v>2151.023</v>
      </c>
    </row>
    <row r="55" spans="1:10" s="301" customFormat="1" ht="12.75" hidden="1">
      <c r="A55" s="363"/>
      <c r="B55" s="302" t="s">
        <v>4</v>
      </c>
      <c r="C55" s="303" t="s">
        <v>286</v>
      </c>
      <c r="D55" s="279" t="s">
        <v>2</v>
      </c>
      <c r="E55" s="279" t="s">
        <v>2</v>
      </c>
      <c r="F55" s="280" t="s">
        <v>287</v>
      </c>
      <c r="G55" s="253">
        <f>SUM(G56:G58)</f>
        <v>0</v>
      </c>
      <c r="H55" s="281">
        <f>SUM(H56:H58)</f>
        <v>1700.341</v>
      </c>
      <c r="I55" s="253">
        <f>SUM(I56:I58)</f>
        <v>0</v>
      </c>
      <c r="J55" s="253">
        <f>SUM(J56:J58)</f>
        <v>1700.341</v>
      </c>
    </row>
    <row r="56" spans="1:10" s="301" customFormat="1" ht="12.75" hidden="1">
      <c r="A56" s="363"/>
      <c r="B56" s="304"/>
      <c r="C56" s="322"/>
      <c r="D56" s="271">
        <v>2212</v>
      </c>
      <c r="E56" s="306">
        <v>5169</v>
      </c>
      <c r="F56" s="198" t="s">
        <v>32</v>
      </c>
      <c r="G56" s="308">
        <v>0</v>
      </c>
      <c r="H56" s="113">
        <f>20*1.21+2.5*1.21</f>
        <v>27.224999999999998</v>
      </c>
      <c r="I56" s="101"/>
      <c r="J56" s="309">
        <f>H56+I56</f>
        <v>27.224999999999998</v>
      </c>
    </row>
    <row r="57" spans="1:10" s="301" customFormat="1" ht="12.75" hidden="1">
      <c r="A57" s="363"/>
      <c r="B57" s="304"/>
      <c r="C57" s="315" t="s">
        <v>278</v>
      </c>
      <c r="D57" s="271">
        <v>2212</v>
      </c>
      <c r="E57" s="306">
        <v>5169</v>
      </c>
      <c r="F57" s="198" t="s">
        <v>32</v>
      </c>
      <c r="G57" s="308">
        <v>0</v>
      </c>
      <c r="H57" s="113">
        <f>32.148+12.705</f>
        <v>44.853</v>
      </c>
      <c r="I57" s="101"/>
      <c r="J57" s="309">
        <f>H57+I57</f>
        <v>44.853</v>
      </c>
    </row>
    <row r="58" spans="1:10" ht="13.5" hidden="1" thickBot="1">
      <c r="A58" s="363"/>
      <c r="B58" s="310"/>
      <c r="C58" s="311" t="s">
        <v>278</v>
      </c>
      <c r="D58" s="270">
        <v>2212</v>
      </c>
      <c r="E58" s="312">
        <v>5171</v>
      </c>
      <c r="F58" s="313" t="s">
        <v>281</v>
      </c>
      <c r="G58" s="188">
        <v>0</v>
      </c>
      <c r="H58" s="124">
        <v>1628.263</v>
      </c>
      <c r="I58" s="124"/>
      <c r="J58" s="188">
        <f>H58+I58</f>
        <v>1628.263</v>
      </c>
    </row>
    <row r="59" spans="1:10" s="301" customFormat="1" ht="12.75" hidden="1">
      <c r="A59" s="363"/>
      <c r="B59" s="314" t="s">
        <v>4</v>
      </c>
      <c r="C59" s="317" t="s">
        <v>288</v>
      </c>
      <c r="D59" s="318" t="s">
        <v>2</v>
      </c>
      <c r="E59" s="318" t="s">
        <v>2</v>
      </c>
      <c r="F59" s="319" t="s">
        <v>289</v>
      </c>
      <c r="G59" s="253">
        <f>SUM(G60:G62)</f>
        <v>0</v>
      </c>
      <c r="H59" s="281">
        <f>SUM(H60:H62)</f>
        <v>4148.308</v>
      </c>
      <c r="I59" s="253">
        <f>SUM(I60:I62)</f>
        <v>0</v>
      </c>
      <c r="J59" s="253">
        <f>SUM(J60:J62)</f>
        <v>4148.308</v>
      </c>
    </row>
    <row r="60" spans="1:10" s="301" customFormat="1" ht="12.75" hidden="1">
      <c r="A60" s="363"/>
      <c r="B60" s="304"/>
      <c r="C60" s="322"/>
      <c r="D60" s="271">
        <v>2212</v>
      </c>
      <c r="E60" s="306">
        <v>5169</v>
      </c>
      <c r="F60" s="198" t="s">
        <v>32</v>
      </c>
      <c r="G60" s="308">
        <v>0</v>
      </c>
      <c r="H60" s="113">
        <f>20*1.21+2.5*1.21</f>
        <v>27.224999999999998</v>
      </c>
      <c r="I60" s="101"/>
      <c r="J60" s="309">
        <f>H60+I60</f>
        <v>27.224999999999998</v>
      </c>
    </row>
    <row r="61" spans="1:10" s="301" customFormat="1" ht="12.75" hidden="1">
      <c r="A61" s="363"/>
      <c r="B61" s="304"/>
      <c r="C61" s="315" t="s">
        <v>278</v>
      </c>
      <c r="D61" s="271">
        <v>2212</v>
      </c>
      <c r="E61" s="306">
        <v>5169</v>
      </c>
      <c r="F61" s="198" t="s">
        <v>32</v>
      </c>
      <c r="G61" s="308">
        <v>0</v>
      </c>
      <c r="H61" s="113">
        <f>32.147+12.705</f>
        <v>44.852</v>
      </c>
      <c r="I61" s="101"/>
      <c r="J61" s="309">
        <f>H61+I61</f>
        <v>44.852</v>
      </c>
    </row>
    <row r="62" spans="1:10" ht="13.5" hidden="1" thickBot="1">
      <c r="A62" s="363"/>
      <c r="B62" s="323"/>
      <c r="C62" s="324" t="s">
        <v>278</v>
      </c>
      <c r="D62" s="261">
        <v>2212</v>
      </c>
      <c r="E62" s="325">
        <v>5171</v>
      </c>
      <c r="F62" s="275" t="s">
        <v>281</v>
      </c>
      <c r="G62" s="124">
        <v>0</v>
      </c>
      <c r="H62" s="124">
        <v>4076.231</v>
      </c>
      <c r="I62" s="124"/>
      <c r="J62" s="124">
        <f>H62+I62</f>
        <v>4076.231</v>
      </c>
    </row>
    <row r="63" spans="1:10" s="301" customFormat="1" ht="12.75" hidden="1">
      <c r="A63" s="363"/>
      <c r="B63" s="302" t="s">
        <v>4</v>
      </c>
      <c r="C63" s="303" t="s">
        <v>290</v>
      </c>
      <c r="D63" s="279" t="s">
        <v>2</v>
      </c>
      <c r="E63" s="279" t="s">
        <v>2</v>
      </c>
      <c r="F63" s="280" t="s">
        <v>291</v>
      </c>
      <c r="G63" s="253">
        <f>SUM(G64:G66)</f>
        <v>0</v>
      </c>
      <c r="H63" s="281">
        <f>SUM(H64:H66)</f>
        <v>1445.493</v>
      </c>
      <c r="I63" s="253">
        <f>SUM(I64:I66)</f>
        <v>0</v>
      </c>
      <c r="J63" s="253">
        <f>SUM(J64:J66)</f>
        <v>1445.493</v>
      </c>
    </row>
    <row r="64" spans="1:10" s="301" customFormat="1" ht="12.75" hidden="1">
      <c r="A64" s="363"/>
      <c r="B64" s="304"/>
      <c r="C64" s="322"/>
      <c r="D64" s="271">
        <v>2212</v>
      </c>
      <c r="E64" s="306">
        <v>5169</v>
      </c>
      <c r="F64" s="198" t="s">
        <v>32</v>
      </c>
      <c r="G64" s="308">
        <v>0</v>
      </c>
      <c r="H64" s="113">
        <f>20*1.21+2.5*1.21</f>
        <v>27.224999999999998</v>
      </c>
      <c r="I64" s="101"/>
      <c r="J64" s="309">
        <f>H64+I64</f>
        <v>27.224999999999998</v>
      </c>
    </row>
    <row r="65" spans="1:10" s="301" customFormat="1" ht="12.75" hidden="1">
      <c r="A65" s="363"/>
      <c r="B65" s="304"/>
      <c r="C65" s="315" t="s">
        <v>278</v>
      </c>
      <c r="D65" s="271">
        <v>2212</v>
      </c>
      <c r="E65" s="306">
        <v>5169</v>
      </c>
      <c r="F65" s="198" t="s">
        <v>32</v>
      </c>
      <c r="G65" s="308">
        <v>0</v>
      </c>
      <c r="H65" s="238">
        <f>31.46+16.94</f>
        <v>48.400000000000006</v>
      </c>
      <c r="I65" s="101"/>
      <c r="J65" s="309">
        <f>H65+I65</f>
        <v>48.400000000000006</v>
      </c>
    </row>
    <row r="66" spans="1:10" ht="13.5" hidden="1" thickBot="1">
      <c r="A66" s="363"/>
      <c r="B66" s="310"/>
      <c r="C66" s="311" t="s">
        <v>278</v>
      </c>
      <c r="D66" s="261">
        <v>2212</v>
      </c>
      <c r="E66" s="325">
        <v>5171</v>
      </c>
      <c r="F66" s="275" t="s">
        <v>281</v>
      </c>
      <c r="G66" s="188">
        <v>0</v>
      </c>
      <c r="H66" s="124">
        <v>1369.868</v>
      </c>
      <c r="I66" s="124"/>
      <c r="J66" s="124">
        <f>H66+I66</f>
        <v>1369.868</v>
      </c>
    </row>
    <row r="67" spans="1:10" s="301" customFormat="1" ht="12.75" hidden="1">
      <c r="A67" s="363"/>
      <c r="B67" s="302" t="s">
        <v>4</v>
      </c>
      <c r="C67" s="303" t="s">
        <v>292</v>
      </c>
      <c r="D67" s="279" t="s">
        <v>2</v>
      </c>
      <c r="E67" s="279" t="s">
        <v>2</v>
      </c>
      <c r="F67" s="280" t="s">
        <v>293</v>
      </c>
      <c r="G67" s="253">
        <f>SUM(G68:G70)</f>
        <v>0</v>
      </c>
      <c r="H67" s="281">
        <f>SUM(H68:H70)</f>
        <v>4720.688</v>
      </c>
      <c r="I67" s="253">
        <f>SUM(I68:I70)</f>
        <v>0</v>
      </c>
      <c r="J67" s="253">
        <f>SUM(J68:J70)</f>
        <v>4720.688</v>
      </c>
    </row>
    <row r="68" spans="1:10" s="301" customFormat="1" ht="12.75" hidden="1">
      <c r="A68" s="363"/>
      <c r="B68" s="304"/>
      <c r="C68" s="322"/>
      <c r="D68" s="271">
        <v>2212</v>
      </c>
      <c r="E68" s="306">
        <v>5169</v>
      </c>
      <c r="F68" s="198" t="s">
        <v>32</v>
      </c>
      <c r="G68" s="308">
        <v>0</v>
      </c>
      <c r="H68" s="113">
        <f>20*1.21+2.5*1.21</f>
        <v>27.224999999999998</v>
      </c>
      <c r="I68" s="101"/>
      <c r="J68" s="309">
        <f>H68+I68</f>
        <v>27.224999999999998</v>
      </c>
    </row>
    <row r="69" spans="1:10" s="301" customFormat="1" ht="12.75" hidden="1">
      <c r="A69" s="363"/>
      <c r="B69" s="304"/>
      <c r="C69" s="315" t="s">
        <v>278</v>
      </c>
      <c r="D69" s="271">
        <v>2212</v>
      </c>
      <c r="E69" s="306">
        <v>5169</v>
      </c>
      <c r="F69" s="198" t="s">
        <v>32</v>
      </c>
      <c r="G69" s="308">
        <v>0</v>
      </c>
      <c r="H69" s="113">
        <f>58.939+38.115</f>
        <v>97.054</v>
      </c>
      <c r="I69" s="101"/>
      <c r="J69" s="309">
        <f>H69+I69</f>
        <v>97.054</v>
      </c>
    </row>
    <row r="70" spans="1:10" ht="13.5" hidden="1" thickBot="1">
      <c r="A70" s="363"/>
      <c r="B70" s="310"/>
      <c r="C70" s="311" t="s">
        <v>278</v>
      </c>
      <c r="D70" s="261">
        <v>2212</v>
      </c>
      <c r="E70" s="325">
        <v>5171</v>
      </c>
      <c r="F70" s="275" t="s">
        <v>281</v>
      </c>
      <c r="G70" s="188">
        <v>0</v>
      </c>
      <c r="H70" s="124">
        <v>4596.409</v>
      </c>
      <c r="I70" s="124"/>
      <c r="J70" s="124">
        <f>H70+I70</f>
        <v>4596.409</v>
      </c>
    </row>
    <row r="71" spans="1:10" s="301" customFormat="1" ht="12.75" hidden="1">
      <c r="A71" s="363"/>
      <c r="B71" s="302" t="s">
        <v>4</v>
      </c>
      <c r="C71" s="303" t="s">
        <v>294</v>
      </c>
      <c r="D71" s="279" t="s">
        <v>2</v>
      </c>
      <c r="E71" s="279" t="s">
        <v>2</v>
      </c>
      <c r="F71" s="280" t="s">
        <v>295</v>
      </c>
      <c r="G71" s="253">
        <f>SUM(G72:G74)</f>
        <v>0</v>
      </c>
      <c r="H71" s="281">
        <f>SUM(H72:H74)</f>
        <v>2853.089</v>
      </c>
      <c r="I71" s="253">
        <f>SUM(I72:I74)</f>
        <v>0</v>
      </c>
      <c r="J71" s="253">
        <f>SUM(J72:J74)</f>
        <v>2853.089</v>
      </c>
    </row>
    <row r="72" spans="1:10" s="301" customFormat="1" ht="12.75" hidden="1">
      <c r="A72" s="363"/>
      <c r="B72" s="304"/>
      <c r="C72" s="322"/>
      <c r="D72" s="271">
        <v>2212</v>
      </c>
      <c r="E72" s="306">
        <v>5169</v>
      </c>
      <c r="F72" s="198" t="s">
        <v>32</v>
      </c>
      <c r="G72" s="308">
        <v>0</v>
      </c>
      <c r="H72" s="113">
        <f>20*1.21+2.5*1.21</f>
        <v>27.224999999999998</v>
      </c>
      <c r="I72" s="101"/>
      <c r="J72" s="309">
        <f>H72+I72</f>
        <v>27.224999999999998</v>
      </c>
    </row>
    <row r="73" spans="1:10" s="301" customFormat="1" ht="12.75" hidden="1">
      <c r="A73" s="363"/>
      <c r="B73" s="304"/>
      <c r="C73" s="315" t="s">
        <v>278</v>
      </c>
      <c r="D73" s="271">
        <v>2212</v>
      </c>
      <c r="E73" s="306">
        <v>5169</v>
      </c>
      <c r="F73" s="198" t="s">
        <v>32</v>
      </c>
      <c r="G73" s="308">
        <v>0</v>
      </c>
      <c r="H73" s="113">
        <f>18.453+15.73</f>
        <v>34.183</v>
      </c>
      <c r="I73" s="101"/>
      <c r="J73" s="309">
        <f>H73+I73</f>
        <v>34.183</v>
      </c>
    </row>
    <row r="74" spans="1:10" ht="13.5" hidden="1" thickBot="1">
      <c r="A74" s="363"/>
      <c r="B74" s="310"/>
      <c r="C74" s="311" t="s">
        <v>278</v>
      </c>
      <c r="D74" s="261">
        <v>2212</v>
      </c>
      <c r="E74" s="325">
        <v>5171</v>
      </c>
      <c r="F74" s="275" t="s">
        <v>281</v>
      </c>
      <c r="G74" s="188">
        <v>0</v>
      </c>
      <c r="H74" s="124">
        <v>2791.681</v>
      </c>
      <c r="I74" s="124"/>
      <c r="J74" s="124">
        <f>H74+I74</f>
        <v>2791.681</v>
      </c>
    </row>
    <row r="75" spans="1:10" s="301" customFormat="1" ht="12.75" hidden="1">
      <c r="A75" s="363"/>
      <c r="B75" s="302" t="s">
        <v>4</v>
      </c>
      <c r="C75" s="303" t="s">
        <v>296</v>
      </c>
      <c r="D75" s="279" t="s">
        <v>2</v>
      </c>
      <c r="E75" s="279" t="s">
        <v>2</v>
      </c>
      <c r="F75" s="280" t="s">
        <v>297</v>
      </c>
      <c r="G75" s="253">
        <f>SUM(G76:G78)</f>
        <v>0</v>
      </c>
      <c r="H75" s="281">
        <f>SUM(H76:H78)</f>
        <v>1503.8419999999999</v>
      </c>
      <c r="I75" s="253">
        <f>SUM(I76:I78)</f>
        <v>0</v>
      </c>
      <c r="J75" s="253">
        <f>SUM(J76:J78)</f>
        <v>1503.8419999999999</v>
      </c>
    </row>
    <row r="76" spans="1:10" s="301" customFormat="1" ht="12.75" hidden="1">
      <c r="A76" s="363"/>
      <c r="B76" s="304"/>
      <c r="C76" s="322"/>
      <c r="D76" s="271">
        <v>2212</v>
      </c>
      <c r="E76" s="306">
        <v>5169</v>
      </c>
      <c r="F76" s="198" t="s">
        <v>32</v>
      </c>
      <c r="G76" s="308">
        <v>0</v>
      </c>
      <c r="H76" s="113">
        <f>20*1.21+2.5*1.21</f>
        <v>27.224999999999998</v>
      </c>
      <c r="I76" s="101"/>
      <c r="J76" s="309">
        <f>H76+I76</f>
        <v>27.224999999999998</v>
      </c>
    </row>
    <row r="77" spans="1:10" s="301" customFormat="1" ht="12.75" hidden="1">
      <c r="A77" s="363"/>
      <c r="B77" s="304"/>
      <c r="C77" s="315" t="s">
        <v>278</v>
      </c>
      <c r="D77" s="271">
        <v>2212</v>
      </c>
      <c r="E77" s="306">
        <v>5169</v>
      </c>
      <c r="F77" s="198" t="s">
        <v>32</v>
      </c>
      <c r="G77" s="308">
        <v>0</v>
      </c>
      <c r="H77" s="113">
        <f>18.452+15.73</f>
        <v>34.182</v>
      </c>
      <c r="I77" s="101"/>
      <c r="J77" s="309">
        <f>H77+I77</f>
        <v>34.182</v>
      </c>
    </row>
    <row r="78" spans="1:10" ht="13.5" hidden="1" thickBot="1">
      <c r="A78" s="363"/>
      <c r="B78" s="310"/>
      <c r="C78" s="311" t="s">
        <v>278</v>
      </c>
      <c r="D78" s="261">
        <v>2212</v>
      </c>
      <c r="E78" s="325">
        <v>5171</v>
      </c>
      <c r="F78" s="275" t="s">
        <v>281</v>
      </c>
      <c r="G78" s="188">
        <v>0</v>
      </c>
      <c r="H78" s="124">
        <v>1442.435</v>
      </c>
      <c r="I78" s="124"/>
      <c r="J78" s="124">
        <f>H78+I78</f>
        <v>1442.435</v>
      </c>
    </row>
    <row r="79" spans="1:10" s="301" customFormat="1" ht="12.75" hidden="1">
      <c r="A79" s="363"/>
      <c r="B79" s="314" t="s">
        <v>4</v>
      </c>
      <c r="C79" s="317" t="s">
        <v>298</v>
      </c>
      <c r="D79" s="318" t="s">
        <v>2</v>
      </c>
      <c r="E79" s="318" t="s">
        <v>2</v>
      </c>
      <c r="F79" s="319" t="s">
        <v>299</v>
      </c>
      <c r="G79" s="253">
        <f>SUM(G80:G82)</f>
        <v>0</v>
      </c>
      <c r="H79" s="281">
        <f>SUM(H80:H82)</f>
        <v>3268.2920000000004</v>
      </c>
      <c r="I79" s="253">
        <f>SUM(I80:I82)</f>
        <v>0</v>
      </c>
      <c r="J79" s="253">
        <f>SUM(J80:J82)</f>
        <v>3268.2920000000004</v>
      </c>
    </row>
    <row r="80" spans="1:10" s="301" customFormat="1" ht="12.75" hidden="1">
      <c r="A80" s="363"/>
      <c r="B80" s="304"/>
      <c r="C80" s="322"/>
      <c r="D80" s="271">
        <v>2212</v>
      </c>
      <c r="E80" s="306">
        <v>5169</v>
      </c>
      <c r="F80" s="198" t="s">
        <v>32</v>
      </c>
      <c r="G80" s="308">
        <v>0</v>
      </c>
      <c r="H80" s="113">
        <f>20*1.21+2.5*1.21</f>
        <v>27.224999999999998</v>
      </c>
      <c r="I80" s="101"/>
      <c r="J80" s="309">
        <f>H80+I80</f>
        <v>27.224999999999998</v>
      </c>
    </row>
    <row r="81" spans="1:10" s="301" customFormat="1" ht="12.75" hidden="1">
      <c r="A81" s="363"/>
      <c r="B81" s="304"/>
      <c r="C81" s="315" t="s">
        <v>278</v>
      </c>
      <c r="D81" s="271">
        <v>2212</v>
      </c>
      <c r="E81" s="306">
        <v>5169</v>
      </c>
      <c r="F81" s="198" t="s">
        <v>32</v>
      </c>
      <c r="G81" s="308">
        <v>0</v>
      </c>
      <c r="H81" s="113">
        <f>23.595+16.94</f>
        <v>40.535</v>
      </c>
      <c r="I81" s="101"/>
      <c r="J81" s="309">
        <f>H81+I81</f>
        <v>40.535</v>
      </c>
    </row>
    <row r="82" spans="1:10" ht="13.5" hidden="1" thickBot="1">
      <c r="A82" s="363"/>
      <c r="B82" s="310"/>
      <c r="C82" s="311" t="s">
        <v>278</v>
      </c>
      <c r="D82" s="270">
        <v>2212</v>
      </c>
      <c r="E82" s="312">
        <v>5171</v>
      </c>
      <c r="F82" s="313" t="s">
        <v>281</v>
      </c>
      <c r="G82" s="188">
        <v>0</v>
      </c>
      <c r="H82" s="124">
        <v>3200.532</v>
      </c>
      <c r="I82" s="124"/>
      <c r="J82" s="188">
        <f>H82+I82</f>
        <v>3200.532</v>
      </c>
    </row>
    <row r="83" spans="1:10" s="301" customFormat="1" ht="12.75" hidden="1">
      <c r="A83" s="363"/>
      <c r="B83" s="302" t="s">
        <v>4</v>
      </c>
      <c r="C83" s="303" t="s">
        <v>300</v>
      </c>
      <c r="D83" s="279" t="s">
        <v>2</v>
      </c>
      <c r="E83" s="279" t="s">
        <v>2</v>
      </c>
      <c r="F83" s="280" t="s">
        <v>301</v>
      </c>
      <c r="G83" s="253">
        <f>SUM(G84:G86)</f>
        <v>0</v>
      </c>
      <c r="H83" s="281">
        <f>SUM(H84:H86)</f>
        <v>4568.306</v>
      </c>
      <c r="I83" s="253">
        <f>SUM(I84:I86)</f>
        <v>0</v>
      </c>
      <c r="J83" s="253">
        <f>SUM(J84:J86)</f>
        <v>4568.306</v>
      </c>
    </row>
    <row r="84" spans="1:10" s="301" customFormat="1" ht="12.75" hidden="1">
      <c r="A84" s="363"/>
      <c r="B84" s="304"/>
      <c r="C84" s="322"/>
      <c r="D84" s="271">
        <v>2212</v>
      </c>
      <c r="E84" s="306">
        <v>5169</v>
      </c>
      <c r="F84" s="198" t="s">
        <v>32</v>
      </c>
      <c r="G84" s="308">
        <v>0</v>
      </c>
      <c r="H84" s="113">
        <f>20*1.21+2.5*1.21</f>
        <v>27.224999999999998</v>
      </c>
      <c r="I84" s="101"/>
      <c r="J84" s="309">
        <f>H84+I84</f>
        <v>27.224999999999998</v>
      </c>
    </row>
    <row r="85" spans="1:10" s="301" customFormat="1" ht="12.75" hidden="1">
      <c r="A85" s="363"/>
      <c r="B85" s="304"/>
      <c r="C85" s="315" t="s">
        <v>278</v>
      </c>
      <c r="D85" s="271">
        <v>2212</v>
      </c>
      <c r="E85" s="306">
        <v>5169</v>
      </c>
      <c r="F85" s="198" t="s">
        <v>32</v>
      </c>
      <c r="G85" s="308">
        <v>0</v>
      </c>
      <c r="H85" s="238">
        <f>84.7+32.85</f>
        <v>117.55000000000001</v>
      </c>
      <c r="I85" s="101"/>
      <c r="J85" s="309">
        <f>H85+I85</f>
        <v>117.55000000000001</v>
      </c>
    </row>
    <row r="86" spans="1:10" ht="13.5" hidden="1" thickBot="1">
      <c r="A86" s="363"/>
      <c r="B86" s="310"/>
      <c r="C86" s="311" t="s">
        <v>278</v>
      </c>
      <c r="D86" s="261">
        <v>2212</v>
      </c>
      <c r="E86" s="325">
        <v>5171</v>
      </c>
      <c r="F86" s="275" t="s">
        <v>281</v>
      </c>
      <c r="G86" s="188">
        <v>0</v>
      </c>
      <c r="H86" s="124">
        <v>4423.531</v>
      </c>
      <c r="I86" s="124"/>
      <c r="J86" s="124">
        <f>H86+I86</f>
        <v>4423.531</v>
      </c>
    </row>
    <row r="87" spans="1:10" s="301" customFormat="1" ht="12.75" hidden="1">
      <c r="A87" s="363"/>
      <c r="B87" s="302" t="s">
        <v>4</v>
      </c>
      <c r="C87" s="303" t="s">
        <v>302</v>
      </c>
      <c r="D87" s="279" t="s">
        <v>2</v>
      </c>
      <c r="E87" s="279" t="s">
        <v>2</v>
      </c>
      <c r="F87" s="280" t="s">
        <v>303</v>
      </c>
      <c r="G87" s="253">
        <f>SUM(G88:G90)</f>
        <v>0</v>
      </c>
      <c r="H87" s="281">
        <f>SUM(H88:H90)</f>
        <v>2274.2430000000004</v>
      </c>
      <c r="I87" s="253">
        <f>SUM(I88:I90)</f>
        <v>0</v>
      </c>
      <c r="J87" s="253">
        <f>SUM(J88:J90)</f>
        <v>2274.2430000000004</v>
      </c>
    </row>
    <row r="88" spans="1:10" s="301" customFormat="1" ht="12.75" hidden="1">
      <c r="A88" s="363"/>
      <c r="B88" s="304"/>
      <c r="C88" s="322"/>
      <c r="D88" s="271">
        <v>2212</v>
      </c>
      <c r="E88" s="306">
        <v>5169</v>
      </c>
      <c r="F88" s="198" t="s">
        <v>32</v>
      </c>
      <c r="G88" s="308">
        <v>0</v>
      </c>
      <c r="H88" s="113">
        <f>20*1.21+2.5*1.21</f>
        <v>27.224999999999998</v>
      </c>
      <c r="I88" s="101"/>
      <c r="J88" s="309">
        <f>H88+I88</f>
        <v>27.224999999999998</v>
      </c>
    </row>
    <row r="89" spans="1:10" s="301" customFormat="1" ht="12.75" hidden="1">
      <c r="A89" s="363"/>
      <c r="B89" s="304"/>
      <c r="C89" s="315" t="s">
        <v>278</v>
      </c>
      <c r="D89" s="271">
        <v>2212</v>
      </c>
      <c r="E89" s="306">
        <v>5169</v>
      </c>
      <c r="F89" s="198" t="s">
        <v>32</v>
      </c>
      <c r="G89" s="308">
        <v>0</v>
      </c>
      <c r="H89" s="113">
        <f>23.595+16.94</f>
        <v>40.535</v>
      </c>
      <c r="I89" s="101"/>
      <c r="J89" s="309">
        <f>H89+I89</f>
        <v>40.535</v>
      </c>
    </row>
    <row r="90" spans="1:10" ht="13.5" hidden="1" thickBot="1">
      <c r="A90" s="363"/>
      <c r="B90" s="310"/>
      <c r="C90" s="311" t="s">
        <v>278</v>
      </c>
      <c r="D90" s="270">
        <v>2212</v>
      </c>
      <c r="E90" s="312">
        <v>5171</v>
      </c>
      <c r="F90" s="313" t="s">
        <v>281</v>
      </c>
      <c r="G90" s="188">
        <v>0</v>
      </c>
      <c r="H90" s="124">
        <v>2206.483</v>
      </c>
      <c r="I90" s="124"/>
      <c r="J90" s="188">
        <f>H90+I90</f>
        <v>2206.483</v>
      </c>
    </row>
    <row r="91" spans="1:10" s="301" customFormat="1" ht="12.75" hidden="1">
      <c r="A91" s="363"/>
      <c r="B91" s="314" t="s">
        <v>4</v>
      </c>
      <c r="C91" s="317" t="s">
        <v>304</v>
      </c>
      <c r="D91" s="318" t="s">
        <v>2</v>
      </c>
      <c r="E91" s="318" t="s">
        <v>2</v>
      </c>
      <c r="F91" s="319" t="s">
        <v>305</v>
      </c>
      <c r="G91" s="253">
        <f>SUM(G92:G94)</f>
        <v>0</v>
      </c>
      <c r="H91" s="281">
        <f>SUM(H92:H94)</f>
        <v>3841.4120000000003</v>
      </c>
      <c r="I91" s="253">
        <f>SUM(I92:I94)</f>
        <v>0</v>
      </c>
      <c r="J91" s="253">
        <f>SUM(J92:J94)</f>
        <v>3841.4120000000003</v>
      </c>
    </row>
    <row r="92" spans="1:10" s="301" customFormat="1" ht="12.75" hidden="1">
      <c r="A92" s="363"/>
      <c r="B92" s="304"/>
      <c r="C92" s="322"/>
      <c r="D92" s="271">
        <v>2212</v>
      </c>
      <c r="E92" s="306">
        <v>5169</v>
      </c>
      <c r="F92" s="198" t="s">
        <v>32</v>
      </c>
      <c r="G92" s="308">
        <v>0</v>
      </c>
      <c r="H92" s="113">
        <f>20*1.21+2.5*1.21</f>
        <v>27.224999999999998</v>
      </c>
      <c r="I92" s="101"/>
      <c r="J92" s="309">
        <f>H92+I92</f>
        <v>27.224999999999998</v>
      </c>
    </row>
    <row r="93" spans="1:10" s="301" customFormat="1" ht="12.75" hidden="1">
      <c r="A93" s="363"/>
      <c r="B93" s="304"/>
      <c r="C93" s="315" t="s">
        <v>278</v>
      </c>
      <c r="D93" s="271">
        <v>2212</v>
      </c>
      <c r="E93" s="306">
        <v>5169</v>
      </c>
      <c r="F93" s="198" t="s">
        <v>32</v>
      </c>
      <c r="G93" s="308">
        <v>0</v>
      </c>
      <c r="H93" s="113">
        <f>23.595+16.94</f>
        <v>40.535</v>
      </c>
      <c r="I93" s="101"/>
      <c r="J93" s="309">
        <f>H93+I93</f>
        <v>40.535</v>
      </c>
    </row>
    <row r="94" spans="1:10" ht="13.5" hidden="1" thickBot="1">
      <c r="A94" s="363"/>
      <c r="B94" s="310"/>
      <c r="C94" s="311" t="s">
        <v>278</v>
      </c>
      <c r="D94" s="270">
        <v>2212</v>
      </c>
      <c r="E94" s="312">
        <v>5171</v>
      </c>
      <c r="F94" s="313" t="s">
        <v>281</v>
      </c>
      <c r="G94" s="188">
        <v>0</v>
      </c>
      <c r="H94" s="124">
        <v>3773.652</v>
      </c>
      <c r="I94" s="124"/>
      <c r="J94" s="188">
        <f>H94+I94</f>
        <v>3773.652</v>
      </c>
    </row>
    <row r="95" spans="1:10" s="301" customFormat="1" ht="12.75" hidden="1">
      <c r="A95" s="363"/>
      <c r="B95" s="302" t="s">
        <v>4</v>
      </c>
      <c r="C95" s="303" t="s">
        <v>306</v>
      </c>
      <c r="D95" s="279" t="s">
        <v>2</v>
      </c>
      <c r="E95" s="279" t="s">
        <v>2</v>
      </c>
      <c r="F95" s="280" t="s">
        <v>307</v>
      </c>
      <c r="G95" s="253">
        <f>SUM(G96:G98)</f>
        <v>0</v>
      </c>
      <c r="H95" s="281">
        <f>SUM(H96:H98)</f>
        <v>2598.464</v>
      </c>
      <c r="I95" s="253">
        <f>SUM(I96:I98)</f>
        <v>0</v>
      </c>
      <c r="J95" s="253">
        <f>SUM(J96:J98)</f>
        <v>2598.464</v>
      </c>
    </row>
    <row r="96" spans="1:10" s="301" customFormat="1" ht="12.75" hidden="1">
      <c r="A96" s="363"/>
      <c r="B96" s="304"/>
      <c r="C96" s="322"/>
      <c r="D96" s="271">
        <v>2212</v>
      </c>
      <c r="E96" s="306">
        <v>5169</v>
      </c>
      <c r="F96" s="198" t="s">
        <v>32</v>
      </c>
      <c r="G96" s="308">
        <v>0</v>
      </c>
      <c r="H96" s="113">
        <f>20*1.21+2.5*1.21</f>
        <v>27.224999999999998</v>
      </c>
      <c r="I96" s="101"/>
      <c r="J96" s="309">
        <f>H96+I96</f>
        <v>27.224999999999998</v>
      </c>
    </row>
    <row r="97" spans="1:10" s="301" customFormat="1" ht="12.75" hidden="1">
      <c r="A97" s="363"/>
      <c r="B97" s="304"/>
      <c r="C97" s="315" t="s">
        <v>278</v>
      </c>
      <c r="D97" s="271">
        <v>2212</v>
      </c>
      <c r="E97" s="306">
        <v>5169</v>
      </c>
      <c r="F97" s="198" t="s">
        <v>32</v>
      </c>
      <c r="G97" s="308">
        <v>0</v>
      </c>
      <c r="H97" s="113">
        <f>23.595+16.94</f>
        <v>40.535</v>
      </c>
      <c r="I97" s="101"/>
      <c r="J97" s="309">
        <f>H97+I97</f>
        <v>40.535</v>
      </c>
    </row>
    <row r="98" spans="1:10" ht="13.5" hidden="1" thickBot="1">
      <c r="A98" s="363"/>
      <c r="B98" s="310"/>
      <c r="C98" s="311" t="s">
        <v>278</v>
      </c>
      <c r="D98" s="270">
        <v>2212</v>
      </c>
      <c r="E98" s="312">
        <v>5171</v>
      </c>
      <c r="F98" s="313" t="s">
        <v>281</v>
      </c>
      <c r="G98" s="188">
        <v>0</v>
      </c>
      <c r="H98" s="124">
        <v>2530.704</v>
      </c>
      <c r="I98" s="124"/>
      <c r="J98" s="188">
        <f>H98+I98</f>
        <v>2530.704</v>
      </c>
    </row>
    <row r="99" spans="1:10" s="301" customFormat="1" ht="12.75" hidden="1">
      <c r="A99" s="363"/>
      <c r="B99" s="302" t="s">
        <v>4</v>
      </c>
      <c r="C99" s="303" t="s">
        <v>308</v>
      </c>
      <c r="D99" s="279" t="s">
        <v>2</v>
      </c>
      <c r="E99" s="279" t="s">
        <v>2</v>
      </c>
      <c r="F99" s="280" t="s">
        <v>309</v>
      </c>
      <c r="G99" s="253">
        <f>SUM(G100:G102)</f>
        <v>0</v>
      </c>
      <c r="H99" s="281">
        <f>SUM(H100:H102)</f>
        <v>12850.311</v>
      </c>
      <c r="I99" s="253">
        <f>SUM(I100:I102)</f>
        <v>0</v>
      </c>
      <c r="J99" s="253">
        <f>SUM(J100:J102)</f>
        <v>12850.311</v>
      </c>
    </row>
    <row r="100" spans="1:10" s="301" customFormat="1" ht="12.75" hidden="1">
      <c r="A100" s="363"/>
      <c r="B100" s="304"/>
      <c r="C100" s="322"/>
      <c r="D100" s="271">
        <v>2212</v>
      </c>
      <c r="E100" s="306">
        <v>5169</v>
      </c>
      <c r="F100" s="198" t="s">
        <v>32</v>
      </c>
      <c r="G100" s="308">
        <v>0</v>
      </c>
      <c r="H100" s="113">
        <f>20*1.21+2.5*1.21</f>
        <v>27.224999999999998</v>
      </c>
      <c r="I100" s="101"/>
      <c r="J100" s="309">
        <f>H100+I100</f>
        <v>27.224999999999998</v>
      </c>
    </row>
    <row r="101" spans="1:10" s="301" customFormat="1" ht="12.75" hidden="1">
      <c r="A101" s="363"/>
      <c r="B101" s="304"/>
      <c r="C101" s="315" t="s">
        <v>278</v>
      </c>
      <c r="D101" s="271">
        <v>2212</v>
      </c>
      <c r="E101" s="306">
        <v>5169</v>
      </c>
      <c r="F101" s="198" t="s">
        <v>32</v>
      </c>
      <c r="G101" s="308">
        <v>0</v>
      </c>
      <c r="H101" s="113">
        <f>109.384+66.55</f>
        <v>175.934</v>
      </c>
      <c r="I101" s="101"/>
      <c r="J101" s="309">
        <f>H101+I101</f>
        <v>175.934</v>
      </c>
    </row>
    <row r="102" spans="1:10" ht="13.5" hidden="1" thickBot="1">
      <c r="A102" s="363"/>
      <c r="B102" s="310"/>
      <c r="C102" s="311" t="s">
        <v>278</v>
      </c>
      <c r="D102" s="270">
        <v>2212</v>
      </c>
      <c r="E102" s="312">
        <v>5171</v>
      </c>
      <c r="F102" s="313" t="s">
        <v>281</v>
      </c>
      <c r="G102" s="188">
        <v>0</v>
      </c>
      <c r="H102" s="124">
        <v>12647.152</v>
      </c>
      <c r="I102" s="124"/>
      <c r="J102" s="188">
        <f>H102+I102</f>
        <v>12647.152</v>
      </c>
    </row>
    <row r="103" spans="1:10" s="301" customFormat="1" ht="12.75" hidden="1">
      <c r="A103" s="363"/>
      <c r="B103" s="302" t="s">
        <v>4</v>
      </c>
      <c r="C103" s="303" t="s">
        <v>310</v>
      </c>
      <c r="D103" s="279" t="s">
        <v>2</v>
      </c>
      <c r="E103" s="279" t="s">
        <v>2</v>
      </c>
      <c r="F103" s="280" t="s">
        <v>311</v>
      </c>
      <c r="G103" s="253">
        <f>SUM(G104:G106)</f>
        <v>0</v>
      </c>
      <c r="H103" s="281">
        <f>SUM(H104:H106)</f>
        <v>2387.426</v>
      </c>
      <c r="I103" s="253">
        <f>SUM(I104:I106)</f>
        <v>0</v>
      </c>
      <c r="J103" s="253">
        <f>SUM(J104:J106)</f>
        <v>2387.426</v>
      </c>
    </row>
    <row r="104" spans="1:10" s="301" customFormat="1" ht="12.75" hidden="1">
      <c r="A104" s="363"/>
      <c r="B104" s="304"/>
      <c r="C104" s="322"/>
      <c r="D104" s="271">
        <v>2212</v>
      </c>
      <c r="E104" s="306">
        <v>5169</v>
      </c>
      <c r="F104" s="198" t="s">
        <v>32</v>
      </c>
      <c r="G104" s="308">
        <v>0</v>
      </c>
      <c r="H104" s="113">
        <f>20*1.21+2.5*1.21</f>
        <v>27.224999999999998</v>
      </c>
      <c r="I104" s="101"/>
      <c r="J104" s="309">
        <f>H104+I104</f>
        <v>27.224999999999998</v>
      </c>
    </row>
    <row r="105" spans="1:10" s="301" customFormat="1" ht="12.75" hidden="1">
      <c r="A105" s="363"/>
      <c r="B105" s="304"/>
      <c r="C105" s="315" t="s">
        <v>278</v>
      </c>
      <c r="D105" s="271">
        <v>2212</v>
      </c>
      <c r="E105" s="306">
        <v>5169</v>
      </c>
      <c r="F105" s="198" t="s">
        <v>32</v>
      </c>
      <c r="G105" s="308">
        <v>0</v>
      </c>
      <c r="H105" s="113">
        <f>31.158+33.275</f>
        <v>64.43299999999999</v>
      </c>
      <c r="I105" s="101"/>
      <c r="J105" s="309">
        <f>H105+I105</f>
        <v>64.43299999999999</v>
      </c>
    </row>
    <row r="106" spans="1:10" ht="13.5" hidden="1" thickBot="1">
      <c r="A106" s="363"/>
      <c r="B106" s="310"/>
      <c r="C106" s="311" t="s">
        <v>278</v>
      </c>
      <c r="D106" s="261">
        <v>2212</v>
      </c>
      <c r="E106" s="325">
        <v>5171</v>
      </c>
      <c r="F106" s="275" t="s">
        <v>281</v>
      </c>
      <c r="G106" s="188">
        <v>0</v>
      </c>
      <c r="H106" s="124">
        <v>2295.768</v>
      </c>
      <c r="I106" s="124"/>
      <c r="J106" s="124">
        <f>H106+I106</f>
        <v>2295.768</v>
      </c>
    </row>
    <row r="107" spans="1:10" ht="12.75" hidden="1">
      <c r="A107" s="363"/>
      <c r="B107" s="302" t="s">
        <v>4</v>
      </c>
      <c r="C107" s="273" t="s">
        <v>312</v>
      </c>
      <c r="D107" s="279" t="s">
        <v>2</v>
      </c>
      <c r="E107" s="279" t="s">
        <v>2</v>
      </c>
      <c r="F107" s="280" t="s">
        <v>313</v>
      </c>
      <c r="G107" s="253">
        <f>SUM(G108:G109)</f>
        <v>0</v>
      </c>
      <c r="H107" s="281">
        <f>SUM(H108:H109)</f>
        <v>65.945</v>
      </c>
      <c r="I107" s="253">
        <f>SUM(I108:I109)</f>
        <v>0</v>
      </c>
      <c r="J107" s="253">
        <f>SUM(J108:J109)</f>
        <v>65.945</v>
      </c>
    </row>
    <row r="108" spans="1:10" ht="12.75" hidden="1">
      <c r="A108" s="363"/>
      <c r="B108" s="282"/>
      <c r="C108" s="283"/>
      <c r="D108" s="271">
        <v>2212</v>
      </c>
      <c r="E108" s="306">
        <v>5169</v>
      </c>
      <c r="F108" s="198" t="s">
        <v>32</v>
      </c>
      <c r="G108" s="113">
        <v>0</v>
      </c>
      <c r="H108" s="113">
        <v>9.892</v>
      </c>
      <c r="I108" s="113"/>
      <c r="J108" s="113">
        <f>H108+I108</f>
        <v>9.892</v>
      </c>
    </row>
    <row r="109" spans="1:10" ht="13.5" hidden="1" thickBot="1">
      <c r="A109" s="363"/>
      <c r="B109" s="292"/>
      <c r="C109" s="326" t="s">
        <v>278</v>
      </c>
      <c r="D109" s="271">
        <v>2212</v>
      </c>
      <c r="E109" s="306">
        <v>5169</v>
      </c>
      <c r="F109" s="198" t="s">
        <v>32</v>
      </c>
      <c r="G109" s="236">
        <v>0</v>
      </c>
      <c r="H109" s="124">
        <v>56.053</v>
      </c>
      <c r="I109" s="124"/>
      <c r="J109" s="113">
        <f>H109+I109</f>
        <v>56.053</v>
      </c>
    </row>
    <row r="110" spans="1:10" ht="12.75" hidden="1">
      <c r="A110" s="363"/>
      <c r="B110" s="302" t="s">
        <v>4</v>
      </c>
      <c r="C110" s="273" t="s">
        <v>314</v>
      </c>
      <c r="D110" s="279" t="s">
        <v>2</v>
      </c>
      <c r="E110" s="279" t="s">
        <v>2</v>
      </c>
      <c r="F110" s="280" t="s">
        <v>315</v>
      </c>
      <c r="G110" s="253">
        <f>SUM(G111:G112)</f>
        <v>0</v>
      </c>
      <c r="H110" s="281">
        <f>SUM(H111:H112)</f>
        <v>65.945</v>
      </c>
      <c r="I110" s="253">
        <f>SUM(I111:I112)</f>
        <v>0</v>
      </c>
      <c r="J110" s="253">
        <f>SUM(J111:J112)</f>
        <v>65.945</v>
      </c>
    </row>
    <row r="111" spans="1:10" ht="12.75" hidden="1">
      <c r="A111" s="363"/>
      <c r="B111" s="282"/>
      <c r="C111" s="283"/>
      <c r="D111" s="271">
        <v>2212</v>
      </c>
      <c r="E111" s="306">
        <v>5169</v>
      </c>
      <c r="F111" s="198" t="s">
        <v>32</v>
      </c>
      <c r="G111" s="113">
        <v>0</v>
      </c>
      <c r="H111" s="113">
        <v>9.892</v>
      </c>
      <c r="I111" s="113"/>
      <c r="J111" s="113">
        <f>H111+I111</f>
        <v>9.892</v>
      </c>
    </row>
    <row r="112" spans="1:10" ht="13.5" hidden="1" thickBot="1">
      <c r="A112" s="363"/>
      <c r="B112" s="292"/>
      <c r="C112" s="326" t="s">
        <v>278</v>
      </c>
      <c r="D112" s="271">
        <v>2212</v>
      </c>
      <c r="E112" s="306">
        <v>5169</v>
      </c>
      <c r="F112" s="198" t="s">
        <v>32</v>
      </c>
      <c r="G112" s="236">
        <v>0</v>
      </c>
      <c r="H112" s="124">
        <v>56.053</v>
      </c>
      <c r="I112" s="124"/>
      <c r="J112" s="113">
        <f>H112+I112</f>
        <v>56.053</v>
      </c>
    </row>
    <row r="113" spans="1:10" ht="12.75" hidden="1">
      <c r="A113" s="363"/>
      <c r="B113" s="302" t="s">
        <v>4</v>
      </c>
      <c r="C113" s="273" t="s">
        <v>316</v>
      </c>
      <c r="D113" s="279" t="s">
        <v>2</v>
      </c>
      <c r="E113" s="279" t="s">
        <v>2</v>
      </c>
      <c r="F113" s="280" t="s">
        <v>317</v>
      </c>
      <c r="G113" s="253">
        <f>SUM(G114:G115)</f>
        <v>0</v>
      </c>
      <c r="H113" s="281">
        <f>SUM(H114:H115)</f>
        <v>59.894999999999996</v>
      </c>
      <c r="I113" s="253">
        <f>SUM(I114:I115)</f>
        <v>0</v>
      </c>
      <c r="J113" s="253">
        <f>SUM(J114:J115)</f>
        <v>59.894999999999996</v>
      </c>
    </row>
    <row r="114" spans="1:10" ht="12.75" hidden="1">
      <c r="A114" s="363"/>
      <c r="B114" s="282"/>
      <c r="C114" s="283"/>
      <c r="D114" s="271">
        <v>2212</v>
      </c>
      <c r="E114" s="306">
        <v>5169</v>
      </c>
      <c r="F114" s="198" t="s">
        <v>32</v>
      </c>
      <c r="G114" s="113">
        <v>0</v>
      </c>
      <c r="H114" s="113">
        <v>8.9845</v>
      </c>
      <c r="I114" s="113"/>
      <c r="J114" s="113">
        <f>H114+I114</f>
        <v>8.9845</v>
      </c>
    </row>
    <row r="115" spans="1:10" ht="13.5" hidden="1" thickBot="1">
      <c r="A115" s="363"/>
      <c r="B115" s="292"/>
      <c r="C115" s="326" t="s">
        <v>278</v>
      </c>
      <c r="D115" s="271">
        <v>2212</v>
      </c>
      <c r="E115" s="306">
        <v>5169</v>
      </c>
      <c r="F115" s="198" t="s">
        <v>32</v>
      </c>
      <c r="G115" s="236">
        <v>0</v>
      </c>
      <c r="H115" s="124">
        <v>50.9105</v>
      </c>
      <c r="I115" s="124"/>
      <c r="J115" s="113">
        <f>H115+I115</f>
        <v>50.9105</v>
      </c>
    </row>
    <row r="116" spans="1:10" ht="12.75" hidden="1">
      <c r="A116" s="363"/>
      <c r="B116" s="302" t="s">
        <v>4</v>
      </c>
      <c r="C116" s="273" t="s">
        <v>318</v>
      </c>
      <c r="D116" s="279" t="s">
        <v>2</v>
      </c>
      <c r="E116" s="279" t="s">
        <v>2</v>
      </c>
      <c r="F116" s="280" t="s">
        <v>319</v>
      </c>
      <c r="G116" s="253">
        <f>SUM(G117:G119)</f>
        <v>0</v>
      </c>
      <c r="H116" s="281">
        <f>SUM(H117:H119)</f>
        <v>813.479</v>
      </c>
      <c r="I116" s="253">
        <f>SUM(I117:I119)</f>
        <v>0</v>
      </c>
      <c r="J116" s="253">
        <f>SUM(J117:J119)</f>
        <v>813.479</v>
      </c>
    </row>
    <row r="117" spans="1:10" ht="12.75" hidden="1">
      <c r="A117" s="363"/>
      <c r="B117" s="282"/>
      <c r="C117" s="283"/>
      <c r="D117" s="271">
        <v>2212</v>
      </c>
      <c r="E117" s="306">
        <v>5169</v>
      </c>
      <c r="F117" s="198" t="s">
        <v>32</v>
      </c>
      <c r="G117" s="113">
        <v>0</v>
      </c>
      <c r="H117" s="113">
        <v>8.9845</v>
      </c>
      <c r="I117" s="113"/>
      <c r="J117" s="113">
        <f>H117+I117</f>
        <v>8.9845</v>
      </c>
    </row>
    <row r="118" spans="1:10" ht="12.75" hidden="1">
      <c r="A118" s="363"/>
      <c r="B118" s="282"/>
      <c r="C118" s="315" t="s">
        <v>278</v>
      </c>
      <c r="D118" s="271">
        <v>2212</v>
      </c>
      <c r="E118" s="306">
        <v>5169</v>
      </c>
      <c r="F118" s="198" t="s">
        <v>32</v>
      </c>
      <c r="G118" s="113">
        <v>0</v>
      </c>
      <c r="H118" s="113">
        <f>50.9105+15.579+13.612</f>
        <v>80.10149999999999</v>
      </c>
      <c r="I118" s="113"/>
      <c r="J118" s="113">
        <f>H118+I118</f>
        <v>80.10149999999999</v>
      </c>
    </row>
    <row r="119" spans="1:10" ht="13.5" hidden="1" thickBot="1">
      <c r="A119" s="363"/>
      <c r="B119" s="327"/>
      <c r="C119" s="288"/>
      <c r="D119" s="328">
        <v>2212</v>
      </c>
      <c r="E119" s="329">
        <v>5171</v>
      </c>
      <c r="F119" s="330" t="s">
        <v>281</v>
      </c>
      <c r="G119" s="101">
        <v>0</v>
      </c>
      <c r="H119" s="124">
        <v>724.393</v>
      </c>
      <c r="I119" s="124"/>
      <c r="J119" s="101">
        <f>H119+I119</f>
        <v>724.393</v>
      </c>
    </row>
    <row r="120" spans="1:10" ht="12.75" hidden="1">
      <c r="A120" s="363"/>
      <c r="B120" s="302" t="s">
        <v>4</v>
      </c>
      <c r="C120" s="273" t="s">
        <v>320</v>
      </c>
      <c r="D120" s="279" t="s">
        <v>2</v>
      </c>
      <c r="E120" s="279" t="s">
        <v>2</v>
      </c>
      <c r="F120" s="280" t="s">
        <v>321</v>
      </c>
      <c r="G120" s="253">
        <f>SUM(G121:G122)</f>
        <v>0</v>
      </c>
      <c r="H120" s="281">
        <f>SUM(H121:H122)</f>
        <v>65.945</v>
      </c>
      <c r="I120" s="253">
        <f>SUM(I121:I122)</f>
        <v>0</v>
      </c>
      <c r="J120" s="253">
        <f>SUM(J121:J122)</f>
        <v>65.945</v>
      </c>
    </row>
    <row r="121" spans="1:10" ht="12.75" hidden="1">
      <c r="A121" s="363"/>
      <c r="B121" s="282"/>
      <c r="C121" s="283"/>
      <c r="D121" s="271">
        <v>2212</v>
      </c>
      <c r="E121" s="306">
        <v>5169</v>
      </c>
      <c r="F121" s="198" t="s">
        <v>32</v>
      </c>
      <c r="G121" s="113">
        <v>0</v>
      </c>
      <c r="H121" s="113">
        <v>9.892</v>
      </c>
      <c r="I121" s="113"/>
      <c r="J121" s="113">
        <f>H121+I121</f>
        <v>9.892</v>
      </c>
    </row>
    <row r="122" spans="1:10" ht="13.5" hidden="1" thickBot="1">
      <c r="A122" s="363"/>
      <c r="B122" s="292"/>
      <c r="C122" s="326" t="s">
        <v>278</v>
      </c>
      <c r="D122" s="271">
        <v>2212</v>
      </c>
      <c r="E122" s="306">
        <v>5169</v>
      </c>
      <c r="F122" s="198" t="s">
        <v>32</v>
      </c>
      <c r="G122" s="236">
        <v>0</v>
      </c>
      <c r="H122" s="124">
        <v>56.053</v>
      </c>
      <c r="I122" s="124"/>
      <c r="J122" s="113">
        <f>H122+I122</f>
        <v>56.053</v>
      </c>
    </row>
    <row r="123" spans="1:10" ht="12.75" hidden="1">
      <c r="A123" s="363"/>
      <c r="B123" s="302" t="s">
        <v>4</v>
      </c>
      <c r="C123" s="273" t="s">
        <v>322</v>
      </c>
      <c r="D123" s="279" t="s">
        <v>2</v>
      </c>
      <c r="E123" s="279" t="s">
        <v>2</v>
      </c>
      <c r="F123" s="280" t="s">
        <v>323</v>
      </c>
      <c r="G123" s="253">
        <f>SUM(G124:G126)</f>
        <v>0</v>
      </c>
      <c r="H123" s="281">
        <f>SUM(H124:H126)</f>
        <v>784.266</v>
      </c>
      <c r="I123" s="253">
        <f>SUM(I124:I126)</f>
        <v>0</v>
      </c>
      <c r="J123" s="253">
        <f>SUM(J124:J126)</f>
        <v>784.266</v>
      </c>
    </row>
    <row r="124" spans="1:10" ht="12.75" hidden="1">
      <c r="A124" s="363"/>
      <c r="B124" s="282"/>
      <c r="C124" s="283"/>
      <c r="D124" s="271">
        <v>2212</v>
      </c>
      <c r="E124" s="306">
        <v>5169</v>
      </c>
      <c r="F124" s="198" t="s">
        <v>32</v>
      </c>
      <c r="G124" s="113">
        <v>0</v>
      </c>
      <c r="H124" s="113">
        <v>8.9845</v>
      </c>
      <c r="I124" s="113"/>
      <c r="J124" s="113">
        <f>H124+I124</f>
        <v>8.9845</v>
      </c>
    </row>
    <row r="125" spans="1:10" ht="12.75" hidden="1">
      <c r="A125" s="363"/>
      <c r="B125" s="282"/>
      <c r="C125" s="315" t="s">
        <v>278</v>
      </c>
      <c r="D125" s="271">
        <v>2212</v>
      </c>
      <c r="E125" s="306">
        <v>5169</v>
      </c>
      <c r="F125" s="198" t="s">
        <v>32</v>
      </c>
      <c r="G125" s="113">
        <v>0</v>
      </c>
      <c r="H125" s="113">
        <f>50.9105+15.579+13.613</f>
        <v>80.10249999999999</v>
      </c>
      <c r="I125" s="113"/>
      <c r="J125" s="113">
        <f>H125+I125</f>
        <v>80.10249999999999</v>
      </c>
    </row>
    <row r="126" spans="1:10" ht="13.5" hidden="1" thickBot="1">
      <c r="A126" s="363"/>
      <c r="B126" s="323"/>
      <c r="C126" s="331"/>
      <c r="D126" s="261">
        <v>2212</v>
      </c>
      <c r="E126" s="325">
        <v>5171</v>
      </c>
      <c r="F126" s="275" t="s">
        <v>281</v>
      </c>
      <c r="G126" s="124">
        <v>0</v>
      </c>
      <c r="H126" s="124">
        <v>695.179</v>
      </c>
      <c r="I126" s="124"/>
      <c r="J126" s="124">
        <f>H126+I126</f>
        <v>695.179</v>
      </c>
    </row>
    <row r="127" spans="1:10" ht="12.75" hidden="1">
      <c r="A127" s="363"/>
      <c r="B127" s="302" t="s">
        <v>4</v>
      </c>
      <c r="C127" s="273" t="s">
        <v>324</v>
      </c>
      <c r="D127" s="279" t="s">
        <v>2</v>
      </c>
      <c r="E127" s="279" t="s">
        <v>2</v>
      </c>
      <c r="F127" s="280" t="s">
        <v>325</v>
      </c>
      <c r="G127" s="253">
        <f>SUM(G128:G129)</f>
        <v>0</v>
      </c>
      <c r="H127" s="281">
        <f>SUM(H128:H129)</f>
        <v>65.945</v>
      </c>
      <c r="I127" s="253">
        <f>SUM(I128:I129)</f>
        <v>0</v>
      </c>
      <c r="J127" s="253">
        <f>SUM(J128:J129)</f>
        <v>65.945</v>
      </c>
    </row>
    <row r="128" spans="1:10" ht="12.75" hidden="1">
      <c r="A128" s="363"/>
      <c r="B128" s="282"/>
      <c r="C128" s="283"/>
      <c r="D128" s="271">
        <v>2212</v>
      </c>
      <c r="E128" s="306">
        <v>5169</v>
      </c>
      <c r="F128" s="198" t="s">
        <v>32</v>
      </c>
      <c r="G128" s="113">
        <v>0</v>
      </c>
      <c r="H128" s="113">
        <v>9.892</v>
      </c>
      <c r="I128" s="113"/>
      <c r="J128" s="113">
        <f>H128+I128</f>
        <v>9.892</v>
      </c>
    </row>
    <row r="129" spans="1:10" ht="13.5" hidden="1" thickBot="1">
      <c r="A129" s="363"/>
      <c r="B129" s="292"/>
      <c r="C129" s="326" t="s">
        <v>278</v>
      </c>
      <c r="D129" s="271">
        <v>2212</v>
      </c>
      <c r="E129" s="306">
        <v>5169</v>
      </c>
      <c r="F129" s="198" t="s">
        <v>32</v>
      </c>
      <c r="G129" s="236">
        <v>0</v>
      </c>
      <c r="H129" s="124">
        <v>56.053</v>
      </c>
      <c r="I129" s="124"/>
      <c r="J129" s="113">
        <f>H129+I129</f>
        <v>56.053</v>
      </c>
    </row>
    <row r="130" spans="1:10" ht="12.75" hidden="1">
      <c r="A130" s="363"/>
      <c r="B130" s="302" t="s">
        <v>4</v>
      </c>
      <c r="C130" s="273" t="s">
        <v>326</v>
      </c>
      <c r="D130" s="279" t="s">
        <v>2</v>
      </c>
      <c r="E130" s="279" t="s">
        <v>2</v>
      </c>
      <c r="F130" s="280" t="s">
        <v>327</v>
      </c>
      <c r="G130" s="253">
        <f>SUM(G131:G133)</f>
        <v>0</v>
      </c>
      <c r="H130" s="281">
        <f>SUM(H131:H133)</f>
        <v>1071.018</v>
      </c>
      <c r="I130" s="253">
        <f>SUM(I131:I133)</f>
        <v>0</v>
      </c>
      <c r="J130" s="253">
        <f>SUM(J131:J133)</f>
        <v>1071.018</v>
      </c>
    </row>
    <row r="131" spans="1:10" ht="12.75" hidden="1">
      <c r="A131" s="363"/>
      <c r="B131" s="282"/>
      <c r="C131" s="283"/>
      <c r="D131" s="271">
        <v>2212</v>
      </c>
      <c r="E131" s="306">
        <v>5169</v>
      </c>
      <c r="F131" s="198" t="s">
        <v>32</v>
      </c>
      <c r="G131" s="113">
        <v>0</v>
      </c>
      <c r="H131" s="113">
        <v>8.9845</v>
      </c>
      <c r="I131" s="113"/>
      <c r="J131" s="113">
        <f>H131+I131</f>
        <v>8.9845</v>
      </c>
    </row>
    <row r="132" spans="1:10" ht="12.75" hidden="1">
      <c r="A132" s="363"/>
      <c r="B132" s="282"/>
      <c r="C132" s="315" t="s">
        <v>278</v>
      </c>
      <c r="D132" s="271">
        <v>2212</v>
      </c>
      <c r="E132" s="306">
        <v>5169</v>
      </c>
      <c r="F132" s="198" t="s">
        <v>32</v>
      </c>
      <c r="G132" s="113">
        <v>0</v>
      </c>
      <c r="H132" s="113">
        <f>50.9105+16.311+20.207</f>
        <v>87.42849999999999</v>
      </c>
      <c r="I132" s="113"/>
      <c r="J132" s="113">
        <f>H132+I132</f>
        <v>87.42849999999999</v>
      </c>
    </row>
    <row r="133" spans="1:10" ht="13.5" hidden="1" thickBot="1">
      <c r="A133" s="363"/>
      <c r="B133" s="310"/>
      <c r="C133" s="311" t="s">
        <v>278</v>
      </c>
      <c r="D133" s="270">
        <v>2212</v>
      </c>
      <c r="E133" s="312">
        <v>5171</v>
      </c>
      <c r="F133" s="313" t="s">
        <v>281</v>
      </c>
      <c r="G133" s="188">
        <v>0</v>
      </c>
      <c r="H133" s="124">
        <v>974.605</v>
      </c>
      <c r="I133" s="124"/>
      <c r="J133" s="188">
        <f>H133+I133</f>
        <v>974.605</v>
      </c>
    </row>
    <row r="134" spans="1:10" ht="12.75" hidden="1">
      <c r="A134" s="363"/>
      <c r="B134" s="302" t="s">
        <v>4</v>
      </c>
      <c r="C134" s="273" t="s">
        <v>328</v>
      </c>
      <c r="D134" s="279" t="s">
        <v>2</v>
      </c>
      <c r="E134" s="279" t="s">
        <v>2</v>
      </c>
      <c r="F134" s="280" t="s">
        <v>329</v>
      </c>
      <c r="G134" s="253">
        <f>SUM(G135:G136)</f>
        <v>0</v>
      </c>
      <c r="H134" s="281">
        <f>SUM(H135:H136)</f>
        <v>65.945</v>
      </c>
      <c r="I134" s="253">
        <f>SUM(I135:I136)</f>
        <v>0</v>
      </c>
      <c r="J134" s="253">
        <f>SUM(J135:J136)</f>
        <v>65.945</v>
      </c>
    </row>
    <row r="135" spans="1:10" ht="12.75" hidden="1">
      <c r="A135" s="363"/>
      <c r="B135" s="282"/>
      <c r="C135" s="283"/>
      <c r="D135" s="271">
        <v>2212</v>
      </c>
      <c r="E135" s="306">
        <v>5169</v>
      </c>
      <c r="F135" s="198" t="s">
        <v>32</v>
      </c>
      <c r="G135" s="113">
        <v>0</v>
      </c>
      <c r="H135" s="113">
        <v>9.892</v>
      </c>
      <c r="I135" s="113"/>
      <c r="J135" s="113">
        <f>H135+I135</f>
        <v>9.892</v>
      </c>
    </row>
    <row r="136" spans="1:10" ht="13.5" hidden="1" thickBot="1">
      <c r="A136" s="363"/>
      <c r="B136" s="292"/>
      <c r="C136" s="326" t="s">
        <v>278</v>
      </c>
      <c r="D136" s="271">
        <v>2212</v>
      </c>
      <c r="E136" s="306">
        <v>5169</v>
      </c>
      <c r="F136" s="198" t="s">
        <v>32</v>
      </c>
      <c r="G136" s="236">
        <v>0</v>
      </c>
      <c r="H136" s="124">
        <v>56.053</v>
      </c>
      <c r="I136" s="124"/>
      <c r="J136" s="113">
        <f>H136+I136</f>
        <v>56.053</v>
      </c>
    </row>
    <row r="137" spans="1:10" ht="12.75" hidden="1">
      <c r="A137" s="363"/>
      <c r="B137" s="302" t="s">
        <v>4</v>
      </c>
      <c r="C137" s="273" t="s">
        <v>330</v>
      </c>
      <c r="D137" s="279" t="s">
        <v>2</v>
      </c>
      <c r="E137" s="279" t="s">
        <v>2</v>
      </c>
      <c r="F137" s="280" t="s">
        <v>331</v>
      </c>
      <c r="G137" s="253">
        <f>SUM(G138:G140)</f>
        <v>0</v>
      </c>
      <c r="H137" s="281">
        <f>SUM(H138:H140)</f>
        <v>2172.6870000000004</v>
      </c>
      <c r="I137" s="253">
        <f>SUM(I138:I140)</f>
        <v>0</v>
      </c>
      <c r="J137" s="253">
        <f>SUM(J138:J140)</f>
        <v>2172.6870000000004</v>
      </c>
    </row>
    <row r="138" spans="1:10" ht="12.75" hidden="1">
      <c r="A138" s="363"/>
      <c r="B138" s="282"/>
      <c r="C138" s="283"/>
      <c r="D138" s="271">
        <v>2212</v>
      </c>
      <c r="E138" s="306">
        <v>5169</v>
      </c>
      <c r="F138" s="198" t="s">
        <v>32</v>
      </c>
      <c r="G138" s="113">
        <v>0</v>
      </c>
      <c r="H138" s="113">
        <v>9.892</v>
      </c>
      <c r="I138" s="113"/>
      <c r="J138" s="113">
        <f>H138+I138</f>
        <v>9.892</v>
      </c>
    </row>
    <row r="139" spans="1:10" ht="12.75" hidden="1">
      <c r="A139" s="363"/>
      <c r="B139" s="282"/>
      <c r="C139" s="315" t="s">
        <v>278</v>
      </c>
      <c r="D139" s="271">
        <v>2212</v>
      </c>
      <c r="E139" s="306">
        <v>5169</v>
      </c>
      <c r="F139" s="198" t="s">
        <v>32</v>
      </c>
      <c r="G139" s="113">
        <v>0</v>
      </c>
      <c r="H139" s="113">
        <f>56.053+16.311+20.207</f>
        <v>92.571</v>
      </c>
      <c r="I139" s="113"/>
      <c r="J139" s="113">
        <f>H139+I139</f>
        <v>92.571</v>
      </c>
    </row>
    <row r="140" spans="1:10" ht="13.5" hidden="1" thickBot="1">
      <c r="A140" s="363"/>
      <c r="B140" s="310"/>
      <c r="C140" s="288"/>
      <c r="D140" s="270">
        <v>2212</v>
      </c>
      <c r="E140" s="312">
        <v>5171</v>
      </c>
      <c r="F140" s="313" t="s">
        <v>281</v>
      </c>
      <c r="G140" s="188">
        <v>0</v>
      </c>
      <c r="H140" s="124">
        <v>2070.224</v>
      </c>
      <c r="I140" s="124"/>
      <c r="J140" s="188">
        <f>H140+I140</f>
        <v>2070.224</v>
      </c>
    </row>
    <row r="141" spans="1:10" ht="12.75" hidden="1">
      <c r="A141" s="363"/>
      <c r="B141" s="302" t="s">
        <v>4</v>
      </c>
      <c r="C141" s="273" t="s">
        <v>332</v>
      </c>
      <c r="D141" s="279" t="s">
        <v>2</v>
      </c>
      <c r="E141" s="279" t="s">
        <v>2</v>
      </c>
      <c r="F141" s="280" t="s">
        <v>333</v>
      </c>
      <c r="G141" s="253">
        <f>SUM(G142:G144)</f>
        <v>0</v>
      </c>
      <c r="H141" s="281">
        <f>SUM(H142:H144)</f>
        <v>668.235</v>
      </c>
      <c r="I141" s="253">
        <f>SUM(I142:I144)</f>
        <v>0</v>
      </c>
      <c r="J141" s="253">
        <f>SUM(J142:J144)</f>
        <v>668.235</v>
      </c>
    </row>
    <row r="142" spans="1:10" ht="12.75" hidden="1">
      <c r="A142" s="363"/>
      <c r="B142" s="282"/>
      <c r="C142" s="283"/>
      <c r="D142" s="271">
        <v>2212</v>
      </c>
      <c r="E142" s="306">
        <v>5169</v>
      </c>
      <c r="F142" s="198" t="s">
        <v>32</v>
      </c>
      <c r="G142" s="113">
        <v>0</v>
      </c>
      <c r="H142" s="113">
        <v>8.9845</v>
      </c>
      <c r="I142" s="113"/>
      <c r="J142" s="113">
        <f>H142+I142</f>
        <v>8.9845</v>
      </c>
    </row>
    <row r="143" spans="1:10" ht="12.75" hidden="1">
      <c r="A143" s="363"/>
      <c r="B143" s="282"/>
      <c r="C143" s="332" t="s">
        <v>278</v>
      </c>
      <c r="D143" s="271">
        <v>2212</v>
      </c>
      <c r="E143" s="306">
        <v>5169</v>
      </c>
      <c r="F143" s="198" t="s">
        <v>32</v>
      </c>
      <c r="G143" s="101">
        <v>0</v>
      </c>
      <c r="H143" s="113">
        <f>50.9105+13.6+20.207</f>
        <v>84.7175</v>
      </c>
      <c r="I143" s="113"/>
      <c r="J143" s="113">
        <f>H143+I143</f>
        <v>84.7175</v>
      </c>
    </row>
    <row r="144" spans="1:10" ht="13.5" hidden="1" thickBot="1">
      <c r="A144" s="363"/>
      <c r="B144" s="310"/>
      <c r="C144" s="288"/>
      <c r="D144" s="270">
        <v>2212</v>
      </c>
      <c r="E144" s="312">
        <v>5171</v>
      </c>
      <c r="F144" s="313" t="s">
        <v>281</v>
      </c>
      <c r="G144" s="188">
        <v>0</v>
      </c>
      <c r="H144" s="124">
        <v>574.533</v>
      </c>
      <c r="I144" s="124"/>
      <c r="J144" s="188">
        <f>H144+I144</f>
        <v>574.533</v>
      </c>
    </row>
    <row r="145" spans="1:10" ht="12.75" hidden="1">
      <c r="A145" s="363"/>
      <c r="B145" s="302" t="s">
        <v>4</v>
      </c>
      <c r="C145" s="273" t="s">
        <v>334</v>
      </c>
      <c r="D145" s="279" t="s">
        <v>2</v>
      </c>
      <c r="E145" s="279" t="s">
        <v>2</v>
      </c>
      <c r="F145" s="280" t="s">
        <v>335</v>
      </c>
      <c r="G145" s="253">
        <f>SUM(G146:G148)</f>
        <v>0</v>
      </c>
      <c r="H145" s="281">
        <f>SUM(H146:H148)</f>
        <v>914.338</v>
      </c>
      <c r="I145" s="253">
        <f>SUM(I146:I148)</f>
        <v>0</v>
      </c>
      <c r="J145" s="253">
        <f>SUM(J146:J148)</f>
        <v>914.338</v>
      </c>
    </row>
    <row r="146" spans="1:10" ht="12.75" hidden="1">
      <c r="A146" s="363"/>
      <c r="B146" s="282"/>
      <c r="C146" s="283"/>
      <c r="D146" s="271">
        <v>2212</v>
      </c>
      <c r="E146" s="306">
        <v>5169</v>
      </c>
      <c r="F146" s="198" t="s">
        <v>32</v>
      </c>
      <c r="G146" s="113">
        <v>0</v>
      </c>
      <c r="H146" s="113">
        <v>11.707</v>
      </c>
      <c r="I146" s="113"/>
      <c r="J146" s="113">
        <f>H146+I146</f>
        <v>11.707</v>
      </c>
    </row>
    <row r="147" spans="1:10" ht="12.75" hidden="1">
      <c r="A147" s="363"/>
      <c r="B147" s="282"/>
      <c r="C147" s="315" t="s">
        <v>278</v>
      </c>
      <c r="D147" s="271">
        <v>2212</v>
      </c>
      <c r="E147" s="306">
        <v>5169</v>
      </c>
      <c r="F147" s="198" t="s">
        <v>32</v>
      </c>
      <c r="G147" s="113">
        <v>0</v>
      </c>
      <c r="H147" s="113">
        <f>66.338+11.797+8.47</f>
        <v>86.60499999999999</v>
      </c>
      <c r="I147" s="113"/>
      <c r="J147" s="113">
        <f>H147+I147</f>
        <v>86.60499999999999</v>
      </c>
    </row>
    <row r="148" spans="1:10" ht="13.5" hidden="1" thickBot="1">
      <c r="A148" s="363"/>
      <c r="B148" s="282"/>
      <c r="C148" s="283"/>
      <c r="D148" s="271">
        <v>2212</v>
      </c>
      <c r="E148" s="306">
        <v>5171</v>
      </c>
      <c r="F148" s="307" t="s">
        <v>281</v>
      </c>
      <c r="G148" s="113">
        <v>0</v>
      </c>
      <c r="H148" s="124">
        <v>816.026</v>
      </c>
      <c r="I148" s="124"/>
      <c r="J148" s="113">
        <f>H148+I148</f>
        <v>816.026</v>
      </c>
    </row>
    <row r="149" spans="1:10" ht="12.75" hidden="1">
      <c r="A149" s="363"/>
      <c r="B149" s="302" t="s">
        <v>4</v>
      </c>
      <c r="C149" s="273" t="s">
        <v>336</v>
      </c>
      <c r="D149" s="279" t="s">
        <v>2</v>
      </c>
      <c r="E149" s="279" t="s">
        <v>2</v>
      </c>
      <c r="F149" s="280" t="s">
        <v>337</v>
      </c>
      <c r="G149" s="253">
        <f>SUM(G150:G152)</f>
        <v>0</v>
      </c>
      <c r="H149" s="281">
        <f>SUM(H150:H152)</f>
        <v>2110.902</v>
      </c>
      <c r="I149" s="253">
        <f>SUM(I150:I152)</f>
        <v>0</v>
      </c>
      <c r="J149" s="253">
        <f>SUM(J150:J152)</f>
        <v>2110.902</v>
      </c>
    </row>
    <row r="150" spans="1:10" ht="12.75" hidden="1">
      <c r="A150" s="363"/>
      <c r="B150" s="282"/>
      <c r="C150" s="283"/>
      <c r="D150" s="271">
        <v>2212</v>
      </c>
      <c r="E150" s="306">
        <v>5169</v>
      </c>
      <c r="F150" s="198" t="s">
        <v>32</v>
      </c>
      <c r="G150" s="113">
        <v>0</v>
      </c>
      <c r="H150" s="113">
        <v>11.707</v>
      </c>
      <c r="I150" s="113"/>
      <c r="J150" s="113">
        <f>H150+I150</f>
        <v>11.707</v>
      </c>
    </row>
    <row r="151" spans="1:10" ht="12.75" hidden="1">
      <c r="A151" s="363"/>
      <c r="B151" s="282"/>
      <c r="C151" s="315" t="s">
        <v>278</v>
      </c>
      <c r="D151" s="271">
        <v>2212</v>
      </c>
      <c r="E151" s="306">
        <v>5169</v>
      </c>
      <c r="F151" s="198" t="s">
        <v>32</v>
      </c>
      <c r="G151" s="113">
        <v>0</v>
      </c>
      <c r="H151" s="113">
        <f>66.338+11.798+8.47</f>
        <v>86.606</v>
      </c>
      <c r="I151" s="113"/>
      <c r="J151" s="113">
        <f>H151+I151</f>
        <v>86.606</v>
      </c>
    </row>
    <row r="152" spans="1:10" ht="13.5" hidden="1" thickBot="1">
      <c r="A152" s="363"/>
      <c r="B152" s="282"/>
      <c r="C152" s="283"/>
      <c r="D152" s="271">
        <v>2212</v>
      </c>
      <c r="E152" s="306">
        <v>5171</v>
      </c>
      <c r="F152" s="307" t="s">
        <v>281</v>
      </c>
      <c r="G152" s="113">
        <v>0</v>
      </c>
      <c r="H152" s="124">
        <v>2012.589</v>
      </c>
      <c r="I152" s="124"/>
      <c r="J152" s="113">
        <f>H152+I152</f>
        <v>2012.589</v>
      </c>
    </row>
    <row r="153" spans="1:10" ht="12.75" hidden="1">
      <c r="A153" s="363"/>
      <c r="B153" s="302" t="s">
        <v>4</v>
      </c>
      <c r="C153" s="273" t="s">
        <v>338</v>
      </c>
      <c r="D153" s="279" t="s">
        <v>2</v>
      </c>
      <c r="E153" s="279" t="s">
        <v>2</v>
      </c>
      <c r="F153" s="280" t="s">
        <v>339</v>
      </c>
      <c r="G153" s="253">
        <f>SUM(G154:G156)</f>
        <v>0</v>
      </c>
      <c r="H153" s="281">
        <f>SUM(H154:H156)</f>
        <v>1494.1889999999999</v>
      </c>
      <c r="I153" s="253">
        <f>SUM(I154:I156)</f>
        <v>0</v>
      </c>
      <c r="J153" s="253">
        <f>SUM(J154:J156)</f>
        <v>1494.1889999999999</v>
      </c>
    </row>
    <row r="154" spans="1:10" ht="12.75" hidden="1">
      <c r="A154" s="363"/>
      <c r="B154" s="282"/>
      <c r="C154" s="283"/>
      <c r="D154" s="271">
        <v>2212</v>
      </c>
      <c r="E154" s="306">
        <v>5169</v>
      </c>
      <c r="F154" s="198" t="s">
        <v>32</v>
      </c>
      <c r="G154" s="113">
        <v>0</v>
      </c>
      <c r="H154" s="113">
        <v>15.337</v>
      </c>
      <c r="I154" s="113"/>
      <c r="J154" s="113">
        <f>H154+I154</f>
        <v>15.337</v>
      </c>
    </row>
    <row r="155" spans="1:10" ht="12.75" hidden="1">
      <c r="A155" s="363"/>
      <c r="B155" s="282"/>
      <c r="C155" s="315" t="s">
        <v>278</v>
      </c>
      <c r="D155" s="271">
        <v>2212</v>
      </c>
      <c r="E155" s="306">
        <v>5169</v>
      </c>
      <c r="F155" s="198" t="s">
        <v>32</v>
      </c>
      <c r="G155" s="113">
        <v>0</v>
      </c>
      <c r="H155" s="113">
        <f>86.908+11.797+8.47</f>
        <v>107.175</v>
      </c>
      <c r="I155" s="113"/>
      <c r="J155" s="113">
        <f>H155+I155</f>
        <v>107.175</v>
      </c>
    </row>
    <row r="156" spans="1:10" ht="13.5" hidden="1" thickBot="1">
      <c r="A156" s="363"/>
      <c r="B156" s="282"/>
      <c r="C156" s="283"/>
      <c r="D156" s="271">
        <v>2212</v>
      </c>
      <c r="E156" s="306">
        <v>5171</v>
      </c>
      <c r="F156" s="307" t="s">
        <v>281</v>
      </c>
      <c r="G156" s="113">
        <v>0</v>
      </c>
      <c r="H156" s="124">
        <v>1371.677</v>
      </c>
      <c r="I156" s="124"/>
      <c r="J156" s="113">
        <f>H156+I156</f>
        <v>1371.677</v>
      </c>
    </row>
    <row r="157" spans="1:10" ht="12.75" hidden="1">
      <c r="A157" s="363"/>
      <c r="B157" s="302" t="s">
        <v>4</v>
      </c>
      <c r="C157" s="273" t="s">
        <v>340</v>
      </c>
      <c r="D157" s="279" t="s">
        <v>2</v>
      </c>
      <c r="E157" s="279" t="s">
        <v>2</v>
      </c>
      <c r="F157" s="280" t="s">
        <v>341</v>
      </c>
      <c r="G157" s="253">
        <f>SUM(G158:G159)</f>
        <v>0</v>
      </c>
      <c r="H157" s="281">
        <f>SUM(H158:H159)</f>
        <v>65.945</v>
      </c>
      <c r="I157" s="253">
        <f>SUM(I158:I159)</f>
        <v>0</v>
      </c>
      <c r="J157" s="253">
        <f>SUM(J158:J159)</f>
        <v>65.945</v>
      </c>
    </row>
    <row r="158" spans="1:10" ht="12.75" hidden="1">
      <c r="A158" s="363"/>
      <c r="B158" s="282"/>
      <c r="C158" s="283"/>
      <c r="D158" s="271">
        <v>2212</v>
      </c>
      <c r="E158" s="306">
        <v>5169</v>
      </c>
      <c r="F158" s="198" t="s">
        <v>32</v>
      </c>
      <c r="G158" s="113">
        <v>0</v>
      </c>
      <c r="H158" s="113">
        <v>9.892</v>
      </c>
      <c r="I158" s="113"/>
      <c r="J158" s="113">
        <f>H158+I158</f>
        <v>9.892</v>
      </c>
    </row>
    <row r="159" spans="1:10" ht="13.5" hidden="1" thickBot="1">
      <c r="A159" s="363"/>
      <c r="B159" s="292"/>
      <c r="C159" s="326" t="s">
        <v>278</v>
      </c>
      <c r="D159" s="271">
        <v>2212</v>
      </c>
      <c r="E159" s="306">
        <v>5169</v>
      </c>
      <c r="F159" s="198" t="s">
        <v>32</v>
      </c>
      <c r="G159" s="236">
        <v>0</v>
      </c>
      <c r="H159" s="124">
        <v>56.053</v>
      </c>
      <c r="I159" s="124"/>
      <c r="J159" s="113">
        <f>H159+I159</f>
        <v>56.053</v>
      </c>
    </row>
    <row r="160" spans="1:10" ht="12.75" hidden="1">
      <c r="A160" s="363"/>
      <c r="B160" s="302" t="s">
        <v>4</v>
      </c>
      <c r="C160" s="273" t="s">
        <v>342</v>
      </c>
      <c r="D160" s="279" t="s">
        <v>2</v>
      </c>
      <c r="E160" s="279" t="s">
        <v>2</v>
      </c>
      <c r="F160" s="280" t="s">
        <v>343</v>
      </c>
      <c r="G160" s="253">
        <f>SUM(G161:G163)</f>
        <v>0</v>
      </c>
      <c r="H160" s="281">
        <f>SUM(H161:H163)</f>
        <v>353.59799999999996</v>
      </c>
      <c r="I160" s="253">
        <f>SUM(I161:I163)</f>
        <v>0</v>
      </c>
      <c r="J160" s="253">
        <f>SUM(J161:J163)</f>
        <v>353.59799999999996</v>
      </c>
    </row>
    <row r="161" spans="1:10" ht="12.75" hidden="1">
      <c r="A161" s="363"/>
      <c r="B161" s="282"/>
      <c r="C161" s="283"/>
      <c r="D161" s="271">
        <v>2212</v>
      </c>
      <c r="E161" s="306">
        <v>5169</v>
      </c>
      <c r="F161" s="198" t="s">
        <v>32</v>
      </c>
      <c r="G161" s="113">
        <v>0</v>
      </c>
      <c r="H161" s="113">
        <v>9.892</v>
      </c>
      <c r="I161" s="113"/>
      <c r="J161" s="113">
        <f>H161+I161</f>
        <v>9.892</v>
      </c>
    </row>
    <row r="162" spans="1:10" ht="12.75" hidden="1">
      <c r="A162" s="363"/>
      <c r="B162" s="282"/>
      <c r="C162" s="332" t="s">
        <v>278</v>
      </c>
      <c r="D162" s="271">
        <v>2212</v>
      </c>
      <c r="E162" s="306">
        <v>5169</v>
      </c>
      <c r="F162" s="198" t="s">
        <v>32</v>
      </c>
      <c r="G162" s="101">
        <v>0</v>
      </c>
      <c r="H162" s="113">
        <f>56.053+16.637+5.107</f>
        <v>77.797</v>
      </c>
      <c r="I162" s="113"/>
      <c r="J162" s="113">
        <f>H162+I162</f>
        <v>77.797</v>
      </c>
    </row>
    <row r="163" spans="1:10" ht="13.5" hidden="1" thickBot="1">
      <c r="A163" s="363"/>
      <c r="B163" s="282"/>
      <c r="C163" s="283"/>
      <c r="D163" s="271">
        <v>2212</v>
      </c>
      <c r="E163" s="306">
        <v>5171</v>
      </c>
      <c r="F163" s="307" t="s">
        <v>281</v>
      </c>
      <c r="G163" s="113">
        <v>0</v>
      </c>
      <c r="H163" s="124">
        <v>265.909</v>
      </c>
      <c r="I163" s="124"/>
      <c r="J163" s="113">
        <f>H163+I163</f>
        <v>265.909</v>
      </c>
    </row>
    <row r="164" spans="1:10" ht="12.75" hidden="1">
      <c r="A164" s="363"/>
      <c r="B164" s="302" t="s">
        <v>4</v>
      </c>
      <c r="C164" s="273" t="s">
        <v>344</v>
      </c>
      <c r="D164" s="279" t="s">
        <v>2</v>
      </c>
      <c r="E164" s="279" t="s">
        <v>2</v>
      </c>
      <c r="F164" s="280" t="s">
        <v>345</v>
      </c>
      <c r="G164" s="253">
        <f>SUM(G165:G167)</f>
        <v>0</v>
      </c>
      <c r="H164" s="281">
        <f>SUM(H165:H167)</f>
        <v>1964.865</v>
      </c>
      <c r="I164" s="253">
        <f>SUM(I165:I167)</f>
        <v>0</v>
      </c>
      <c r="J164" s="253">
        <f>SUM(J165:J167)</f>
        <v>1964.865</v>
      </c>
    </row>
    <row r="165" spans="1:10" ht="12.75" hidden="1">
      <c r="A165" s="363"/>
      <c r="B165" s="282"/>
      <c r="C165" s="283"/>
      <c r="D165" s="271">
        <v>2212</v>
      </c>
      <c r="E165" s="306">
        <v>5169</v>
      </c>
      <c r="F165" s="198" t="s">
        <v>32</v>
      </c>
      <c r="G165" s="113">
        <v>0</v>
      </c>
      <c r="H165" s="113">
        <v>8.9845</v>
      </c>
      <c r="I165" s="113"/>
      <c r="J165" s="113">
        <f>H165+I165</f>
        <v>8.9845</v>
      </c>
    </row>
    <row r="166" spans="1:10" ht="12.75" hidden="1">
      <c r="A166" s="363"/>
      <c r="B166" s="282"/>
      <c r="C166" s="332" t="s">
        <v>278</v>
      </c>
      <c r="D166" s="271">
        <v>2212</v>
      </c>
      <c r="E166" s="306">
        <v>5169</v>
      </c>
      <c r="F166" s="198" t="s">
        <v>32</v>
      </c>
      <c r="G166" s="101">
        <v>0</v>
      </c>
      <c r="H166" s="113">
        <f>50.9105+16.638+5.108</f>
        <v>72.65650000000001</v>
      </c>
      <c r="I166" s="113"/>
      <c r="J166" s="113">
        <f>H166+I166</f>
        <v>72.65650000000001</v>
      </c>
    </row>
    <row r="167" spans="1:10" ht="13.5" hidden="1" thickBot="1">
      <c r="A167" s="363"/>
      <c r="B167" s="282"/>
      <c r="C167" s="283"/>
      <c r="D167" s="271">
        <v>2212</v>
      </c>
      <c r="E167" s="306">
        <v>5171</v>
      </c>
      <c r="F167" s="307" t="s">
        <v>281</v>
      </c>
      <c r="G167" s="113">
        <v>0</v>
      </c>
      <c r="H167" s="124">
        <v>1883.224</v>
      </c>
      <c r="I167" s="124"/>
      <c r="J167" s="113">
        <f>H167+I167</f>
        <v>1883.224</v>
      </c>
    </row>
    <row r="168" spans="1:10" ht="12.75" hidden="1">
      <c r="A168" s="363"/>
      <c r="B168" s="302" t="s">
        <v>4</v>
      </c>
      <c r="C168" s="273" t="s">
        <v>346</v>
      </c>
      <c r="D168" s="279" t="s">
        <v>2</v>
      </c>
      <c r="E168" s="279" t="s">
        <v>2</v>
      </c>
      <c r="F168" s="280" t="s">
        <v>347</v>
      </c>
      <c r="G168" s="253">
        <f>SUM(G169:G171)</f>
        <v>0</v>
      </c>
      <c r="H168" s="281">
        <f>SUM(H169:H171)</f>
        <v>598.294</v>
      </c>
      <c r="I168" s="253">
        <f>SUM(I169:I171)</f>
        <v>0</v>
      </c>
      <c r="J168" s="253">
        <f>SUM(J169:J171)</f>
        <v>598.294</v>
      </c>
    </row>
    <row r="169" spans="1:10" ht="12.75" hidden="1">
      <c r="A169" s="363"/>
      <c r="B169" s="282"/>
      <c r="C169" s="283"/>
      <c r="D169" s="271">
        <v>2212</v>
      </c>
      <c r="E169" s="306">
        <v>5169</v>
      </c>
      <c r="F169" s="198" t="s">
        <v>32</v>
      </c>
      <c r="G169" s="113">
        <v>0</v>
      </c>
      <c r="H169" s="113">
        <v>8.9845</v>
      </c>
      <c r="I169" s="113"/>
      <c r="J169" s="113">
        <f>H169+I169</f>
        <v>8.9845</v>
      </c>
    </row>
    <row r="170" spans="1:10" ht="12.75" hidden="1">
      <c r="A170" s="363"/>
      <c r="B170" s="282"/>
      <c r="C170" s="315" t="s">
        <v>278</v>
      </c>
      <c r="D170" s="271">
        <v>2212</v>
      </c>
      <c r="E170" s="306">
        <v>5169</v>
      </c>
      <c r="F170" s="198" t="s">
        <v>32</v>
      </c>
      <c r="G170" s="113">
        <v>0</v>
      </c>
      <c r="H170" s="113">
        <f>50.9105+16.638+5.108</f>
        <v>72.65650000000001</v>
      </c>
      <c r="I170" s="113"/>
      <c r="J170" s="113">
        <f>H170+I170</f>
        <v>72.65650000000001</v>
      </c>
    </row>
    <row r="171" spans="1:10" ht="13.5" hidden="1" thickBot="1">
      <c r="A171" s="363"/>
      <c r="B171" s="282"/>
      <c r="C171" s="283"/>
      <c r="D171" s="271">
        <v>2212</v>
      </c>
      <c r="E171" s="306">
        <v>5171</v>
      </c>
      <c r="F171" s="307" t="s">
        <v>281</v>
      </c>
      <c r="G171" s="113">
        <v>0</v>
      </c>
      <c r="H171" s="124">
        <v>516.653</v>
      </c>
      <c r="I171" s="124"/>
      <c r="J171" s="113">
        <f>H171+I171</f>
        <v>516.653</v>
      </c>
    </row>
    <row r="172" spans="1:10" ht="12.75" hidden="1">
      <c r="A172" s="363"/>
      <c r="B172" s="302" t="s">
        <v>4</v>
      </c>
      <c r="C172" s="273" t="s">
        <v>348</v>
      </c>
      <c r="D172" s="279" t="s">
        <v>2</v>
      </c>
      <c r="E172" s="279" t="s">
        <v>2</v>
      </c>
      <c r="F172" s="280" t="s">
        <v>349</v>
      </c>
      <c r="G172" s="253">
        <f>SUM(G173:G175)</f>
        <v>0</v>
      </c>
      <c r="H172" s="281">
        <f>SUM(H173:H175)</f>
        <v>268.429</v>
      </c>
      <c r="I172" s="253">
        <f>SUM(I173:I175)</f>
        <v>0</v>
      </c>
      <c r="J172" s="253">
        <f>SUM(J173:J175)</f>
        <v>268.429</v>
      </c>
    </row>
    <row r="173" spans="1:10" ht="12.75" hidden="1">
      <c r="A173" s="363"/>
      <c r="B173" s="282"/>
      <c r="C173" s="283"/>
      <c r="D173" s="271">
        <v>2212</v>
      </c>
      <c r="E173" s="306">
        <v>5169</v>
      </c>
      <c r="F173" s="198" t="s">
        <v>32</v>
      </c>
      <c r="G173" s="113">
        <v>0</v>
      </c>
      <c r="H173" s="113">
        <v>9.892</v>
      </c>
      <c r="I173" s="113"/>
      <c r="J173" s="113">
        <f>H173+I173</f>
        <v>9.892</v>
      </c>
    </row>
    <row r="174" spans="1:10" ht="12.75" hidden="1">
      <c r="A174" s="363"/>
      <c r="B174" s="282"/>
      <c r="C174" s="332" t="s">
        <v>278</v>
      </c>
      <c r="D174" s="271">
        <v>2212</v>
      </c>
      <c r="E174" s="306">
        <v>5169</v>
      </c>
      <c r="F174" s="198" t="s">
        <v>32</v>
      </c>
      <c r="G174" s="101">
        <v>0</v>
      </c>
      <c r="H174" s="113">
        <f>56.053+16.637+5.107</f>
        <v>77.797</v>
      </c>
      <c r="I174" s="113"/>
      <c r="J174" s="113">
        <f>H174+I174</f>
        <v>77.797</v>
      </c>
    </row>
    <row r="175" spans="1:10" ht="13.5" hidden="1" thickBot="1">
      <c r="A175" s="363"/>
      <c r="B175" s="282"/>
      <c r="C175" s="283"/>
      <c r="D175" s="271">
        <v>2212</v>
      </c>
      <c r="E175" s="306">
        <v>5171</v>
      </c>
      <c r="F175" s="307" t="s">
        <v>281</v>
      </c>
      <c r="G175" s="113">
        <v>0</v>
      </c>
      <c r="H175" s="316">
        <v>180.74</v>
      </c>
      <c r="I175" s="124"/>
      <c r="J175" s="113">
        <f>H175+I175</f>
        <v>180.74</v>
      </c>
    </row>
    <row r="176" spans="1:10" ht="12.75" hidden="1">
      <c r="A176" s="363"/>
      <c r="B176" s="302" t="s">
        <v>4</v>
      </c>
      <c r="C176" s="273" t="s">
        <v>350</v>
      </c>
      <c r="D176" s="279" t="s">
        <v>2</v>
      </c>
      <c r="E176" s="279" t="s">
        <v>2</v>
      </c>
      <c r="F176" s="280" t="s">
        <v>351</v>
      </c>
      <c r="G176" s="253">
        <f>SUM(G177:G179)</f>
        <v>0</v>
      </c>
      <c r="H176" s="281">
        <f>SUM(H177:H179)</f>
        <v>768.691</v>
      </c>
      <c r="I176" s="253">
        <f>SUM(I177:I179)</f>
        <v>0</v>
      </c>
      <c r="J176" s="253">
        <f>SUM(J177:J179)</f>
        <v>768.691</v>
      </c>
    </row>
    <row r="177" spans="1:10" ht="12.75" hidden="1">
      <c r="A177" s="363"/>
      <c r="B177" s="282"/>
      <c r="C177" s="283"/>
      <c r="D177" s="271">
        <v>2212</v>
      </c>
      <c r="E177" s="306">
        <v>5169</v>
      </c>
      <c r="F177" s="198" t="s">
        <v>32</v>
      </c>
      <c r="G177" s="113">
        <v>0</v>
      </c>
      <c r="H177" s="113">
        <v>8.9845</v>
      </c>
      <c r="I177" s="113"/>
      <c r="J177" s="113">
        <f>H177+I177</f>
        <v>8.9845</v>
      </c>
    </row>
    <row r="178" spans="1:10" ht="12.75" hidden="1">
      <c r="A178" s="363"/>
      <c r="B178" s="282"/>
      <c r="C178" s="315" t="s">
        <v>278</v>
      </c>
      <c r="D178" s="271">
        <v>2212</v>
      </c>
      <c r="E178" s="306">
        <v>5169</v>
      </c>
      <c r="F178" s="198" t="s">
        <v>32</v>
      </c>
      <c r="G178" s="113">
        <v>0</v>
      </c>
      <c r="H178" s="113">
        <f>50.9105+15.73+16.94</f>
        <v>83.5805</v>
      </c>
      <c r="I178" s="113"/>
      <c r="J178" s="113">
        <f>H178+I178</f>
        <v>83.5805</v>
      </c>
    </row>
    <row r="179" spans="1:10" ht="13.5" hidden="1" thickBot="1">
      <c r="A179" s="363"/>
      <c r="B179" s="310"/>
      <c r="C179" s="311" t="s">
        <v>278</v>
      </c>
      <c r="D179" s="270">
        <v>2212</v>
      </c>
      <c r="E179" s="312">
        <v>5171</v>
      </c>
      <c r="F179" s="313" t="s">
        <v>281</v>
      </c>
      <c r="G179" s="188">
        <v>0</v>
      </c>
      <c r="H179" s="124">
        <v>676.126</v>
      </c>
      <c r="I179" s="124"/>
      <c r="J179" s="188">
        <f>H179+I179</f>
        <v>676.126</v>
      </c>
    </row>
    <row r="180" spans="1:10" ht="12.75" hidden="1">
      <c r="A180" s="363"/>
      <c r="B180" s="302" t="s">
        <v>4</v>
      </c>
      <c r="C180" s="273" t="s">
        <v>352</v>
      </c>
      <c r="D180" s="279" t="s">
        <v>2</v>
      </c>
      <c r="E180" s="279" t="s">
        <v>2</v>
      </c>
      <c r="F180" s="280" t="s">
        <v>353</v>
      </c>
      <c r="G180" s="253">
        <f>SUM(G181:G183)</f>
        <v>0</v>
      </c>
      <c r="H180" s="281">
        <f>SUM(H181:H183)</f>
        <v>1076.7060000000001</v>
      </c>
      <c r="I180" s="253">
        <f>SUM(I181:I183)</f>
        <v>0</v>
      </c>
      <c r="J180" s="253">
        <f>SUM(J181:J183)</f>
        <v>1076.7060000000001</v>
      </c>
    </row>
    <row r="181" spans="1:10" ht="12.75" hidden="1">
      <c r="A181" s="363"/>
      <c r="B181" s="282"/>
      <c r="C181" s="283"/>
      <c r="D181" s="271">
        <v>2212</v>
      </c>
      <c r="E181" s="306">
        <v>5169</v>
      </c>
      <c r="F181" s="198" t="s">
        <v>32</v>
      </c>
      <c r="G181" s="113">
        <v>0</v>
      </c>
      <c r="H181" s="113">
        <v>8.9845</v>
      </c>
      <c r="I181" s="113"/>
      <c r="J181" s="113">
        <f>H181+I181</f>
        <v>8.9845</v>
      </c>
    </row>
    <row r="182" spans="1:10" ht="12.75" hidden="1">
      <c r="A182" s="363"/>
      <c r="B182" s="282"/>
      <c r="C182" s="315" t="s">
        <v>278</v>
      </c>
      <c r="D182" s="271">
        <v>2212</v>
      </c>
      <c r="E182" s="306">
        <v>5169</v>
      </c>
      <c r="F182" s="198" t="s">
        <v>32</v>
      </c>
      <c r="G182" s="113">
        <v>0</v>
      </c>
      <c r="H182" s="113">
        <f>50.9105+36.905+12.1</f>
        <v>99.9155</v>
      </c>
      <c r="I182" s="113"/>
      <c r="J182" s="113">
        <f>H182+I182</f>
        <v>99.9155</v>
      </c>
    </row>
    <row r="183" spans="1:10" ht="13.5" hidden="1" thickBot="1">
      <c r="A183" s="363"/>
      <c r="B183" s="310"/>
      <c r="C183" s="311" t="s">
        <v>278</v>
      </c>
      <c r="D183" s="261">
        <v>2212</v>
      </c>
      <c r="E183" s="325">
        <v>5171</v>
      </c>
      <c r="F183" s="275" t="s">
        <v>281</v>
      </c>
      <c r="G183" s="188">
        <v>0</v>
      </c>
      <c r="H183" s="124">
        <v>967.806</v>
      </c>
      <c r="I183" s="124"/>
      <c r="J183" s="124">
        <f>H183+I183</f>
        <v>967.806</v>
      </c>
    </row>
    <row r="184" spans="1:10" ht="12.75" hidden="1">
      <c r="A184" s="363"/>
      <c r="B184" s="302" t="s">
        <v>4</v>
      </c>
      <c r="C184" s="273" t="s">
        <v>354</v>
      </c>
      <c r="D184" s="279" t="s">
        <v>2</v>
      </c>
      <c r="E184" s="279" t="s">
        <v>2</v>
      </c>
      <c r="F184" s="280" t="s">
        <v>355</v>
      </c>
      <c r="G184" s="253">
        <f>SUM(G185:G187)</f>
        <v>0</v>
      </c>
      <c r="H184" s="281">
        <f>SUM(H185:H187)</f>
        <v>329.06850000000003</v>
      </c>
      <c r="I184" s="253">
        <f>SUM(I185:I187)</f>
        <v>0</v>
      </c>
      <c r="J184" s="253">
        <f>SUM(J185:J187)</f>
        <v>329.06850000000003</v>
      </c>
    </row>
    <row r="185" spans="1:10" ht="12.75" hidden="1">
      <c r="A185" s="363"/>
      <c r="B185" s="282"/>
      <c r="C185" s="283"/>
      <c r="D185" s="271">
        <v>2212</v>
      </c>
      <c r="E185" s="306">
        <v>5169</v>
      </c>
      <c r="F185" s="198" t="s">
        <v>32</v>
      </c>
      <c r="G185" s="113">
        <v>0</v>
      </c>
      <c r="H185" s="238">
        <v>4.22</v>
      </c>
      <c r="I185" s="113"/>
      <c r="J185" s="113">
        <f>H185+I185</f>
        <v>4.22</v>
      </c>
    </row>
    <row r="186" spans="1:10" ht="12.75" hidden="1">
      <c r="A186" s="363"/>
      <c r="B186" s="282"/>
      <c r="C186" s="332" t="s">
        <v>278</v>
      </c>
      <c r="D186" s="271">
        <v>2212</v>
      </c>
      <c r="E186" s="306">
        <v>5169</v>
      </c>
      <c r="F186" s="198" t="s">
        <v>32</v>
      </c>
      <c r="G186" s="101">
        <v>0</v>
      </c>
      <c r="H186" s="113">
        <f>23.9125+12.281+10.122</f>
        <v>46.3155</v>
      </c>
      <c r="I186" s="113"/>
      <c r="J186" s="113">
        <f>H186+I186</f>
        <v>46.3155</v>
      </c>
    </row>
    <row r="187" spans="1:10" ht="13.5" hidden="1" thickBot="1">
      <c r="A187" s="363"/>
      <c r="B187" s="323"/>
      <c r="C187" s="324" t="s">
        <v>278</v>
      </c>
      <c r="D187" s="261">
        <v>2212</v>
      </c>
      <c r="E187" s="325">
        <v>5171</v>
      </c>
      <c r="F187" s="275" t="s">
        <v>281</v>
      </c>
      <c r="G187" s="124">
        <v>0</v>
      </c>
      <c r="H187" s="124">
        <v>278.533</v>
      </c>
      <c r="I187" s="124"/>
      <c r="J187" s="124">
        <f>H187+I187</f>
        <v>278.533</v>
      </c>
    </row>
    <row r="188" spans="1:10" ht="12.75" hidden="1">
      <c r="A188" s="363"/>
      <c r="B188" s="302" t="s">
        <v>4</v>
      </c>
      <c r="C188" s="273" t="s">
        <v>356</v>
      </c>
      <c r="D188" s="279" t="s">
        <v>2</v>
      </c>
      <c r="E188" s="279" t="s">
        <v>2</v>
      </c>
      <c r="F188" s="280" t="s">
        <v>357</v>
      </c>
      <c r="G188" s="253">
        <f>SUM(G189:G191)</f>
        <v>0</v>
      </c>
      <c r="H188" s="281">
        <f>SUM(H189:H191)</f>
        <v>358.3155</v>
      </c>
      <c r="I188" s="253">
        <f>SUM(I189:I191)</f>
        <v>0</v>
      </c>
      <c r="J188" s="253">
        <f>SUM(J189:J191)</f>
        <v>358.3155</v>
      </c>
    </row>
    <row r="189" spans="1:10" ht="12.75" hidden="1">
      <c r="A189" s="363"/>
      <c r="B189" s="282"/>
      <c r="C189" s="283"/>
      <c r="D189" s="271">
        <v>2212</v>
      </c>
      <c r="E189" s="306">
        <v>5169</v>
      </c>
      <c r="F189" s="198" t="s">
        <v>32</v>
      </c>
      <c r="G189" s="113">
        <v>0</v>
      </c>
      <c r="H189" s="238">
        <v>4.22</v>
      </c>
      <c r="I189" s="113"/>
      <c r="J189" s="113">
        <f>H189+I189</f>
        <v>4.22</v>
      </c>
    </row>
    <row r="190" spans="1:10" ht="12.75" hidden="1">
      <c r="A190" s="363"/>
      <c r="B190" s="282"/>
      <c r="C190" s="315" t="s">
        <v>278</v>
      </c>
      <c r="D190" s="271">
        <v>2212</v>
      </c>
      <c r="E190" s="306">
        <v>5169</v>
      </c>
      <c r="F190" s="198" t="s">
        <v>32</v>
      </c>
      <c r="G190" s="113">
        <v>0</v>
      </c>
      <c r="H190" s="113">
        <f>23.9125+12.282+10.122</f>
        <v>46.316500000000005</v>
      </c>
      <c r="I190" s="113"/>
      <c r="J190" s="113">
        <f>H190+I190</f>
        <v>46.316500000000005</v>
      </c>
    </row>
    <row r="191" spans="1:10" ht="13.5" hidden="1" thickBot="1">
      <c r="A191" s="363"/>
      <c r="B191" s="310"/>
      <c r="C191" s="311" t="s">
        <v>278</v>
      </c>
      <c r="D191" s="270">
        <v>2212</v>
      </c>
      <c r="E191" s="312">
        <v>5171</v>
      </c>
      <c r="F191" s="313" t="s">
        <v>281</v>
      </c>
      <c r="G191" s="188">
        <v>0</v>
      </c>
      <c r="H191" s="124">
        <v>307.779</v>
      </c>
      <c r="I191" s="124"/>
      <c r="J191" s="188">
        <f>H191+I191</f>
        <v>307.779</v>
      </c>
    </row>
    <row r="192" spans="1:10" ht="12.75" hidden="1">
      <c r="A192" s="363"/>
      <c r="B192" s="302" t="s">
        <v>4</v>
      </c>
      <c r="C192" s="273" t="s">
        <v>358</v>
      </c>
      <c r="D192" s="279" t="s">
        <v>2</v>
      </c>
      <c r="E192" s="279" t="s">
        <v>2</v>
      </c>
      <c r="F192" s="280" t="s">
        <v>359</v>
      </c>
      <c r="G192" s="253">
        <f>SUM(G193:G195)</f>
        <v>0</v>
      </c>
      <c r="H192" s="281">
        <f>SUM(H193:H195)</f>
        <v>657.1355</v>
      </c>
      <c r="I192" s="253">
        <f>SUM(I193:I195)</f>
        <v>0</v>
      </c>
      <c r="J192" s="253">
        <f>SUM(J193:J195)</f>
        <v>657.1355</v>
      </c>
    </row>
    <row r="193" spans="1:10" ht="12.75" hidden="1">
      <c r="A193" s="363"/>
      <c r="B193" s="282"/>
      <c r="C193" s="283"/>
      <c r="D193" s="271">
        <v>2212</v>
      </c>
      <c r="E193" s="306">
        <v>5169</v>
      </c>
      <c r="F193" s="198" t="s">
        <v>32</v>
      </c>
      <c r="G193" s="113">
        <v>0</v>
      </c>
      <c r="H193" s="238">
        <v>4.22</v>
      </c>
      <c r="I193" s="113"/>
      <c r="J193" s="113">
        <f>H193+I193</f>
        <v>4.22</v>
      </c>
    </row>
    <row r="194" spans="1:10" ht="12.75" hidden="1">
      <c r="A194" s="363"/>
      <c r="B194" s="282"/>
      <c r="C194" s="315" t="s">
        <v>278</v>
      </c>
      <c r="D194" s="271">
        <v>2212</v>
      </c>
      <c r="E194" s="306">
        <v>5169</v>
      </c>
      <c r="F194" s="198" t="s">
        <v>32</v>
      </c>
      <c r="G194" s="113">
        <v>0</v>
      </c>
      <c r="H194" s="113">
        <f>23.9125+19.602+13.915</f>
        <v>57.4295</v>
      </c>
      <c r="I194" s="113"/>
      <c r="J194" s="113">
        <f>H194+I194</f>
        <v>57.4295</v>
      </c>
    </row>
    <row r="195" spans="1:10" ht="13.5" hidden="1" thickBot="1">
      <c r="A195" s="363"/>
      <c r="B195" s="310"/>
      <c r="C195" s="311" t="s">
        <v>278</v>
      </c>
      <c r="D195" s="270">
        <v>2212</v>
      </c>
      <c r="E195" s="312">
        <v>5171</v>
      </c>
      <c r="F195" s="313" t="s">
        <v>281</v>
      </c>
      <c r="G195" s="188">
        <v>0</v>
      </c>
      <c r="H195" s="124">
        <v>595.486</v>
      </c>
      <c r="I195" s="124"/>
      <c r="J195" s="188">
        <f>H195+I195</f>
        <v>595.486</v>
      </c>
    </row>
    <row r="196" spans="1:10" ht="12.75" hidden="1">
      <c r="A196" s="363"/>
      <c r="B196" s="302" t="s">
        <v>4</v>
      </c>
      <c r="C196" s="273" t="s">
        <v>360</v>
      </c>
      <c r="D196" s="279" t="s">
        <v>2</v>
      </c>
      <c r="E196" s="279" t="s">
        <v>2</v>
      </c>
      <c r="F196" s="280" t="s">
        <v>361</v>
      </c>
      <c r="G196" s="253">
        <f>SUM(G197:G199)</f>
        <v>0</v>
      </c>
      <c r="H196" s="281">
        <f>SUM(H197:H199)</f>
        <v>3586.5415000000003</v>
      </c>
      <c r="I196" s="253">
        <f>SUM(I197:I199)</f>
        <v>0</v>
      </c>
      <c r="J196" s="253">
        <f>SUM(J197:J199)</f>
        <v>3586.5415000000003</v>
      </c>
    </row>
    <row r="197" spans="1:10" ht="12.75" hidden="1">
      <c r="A197" s="363"/>
      <c r="B197" s="282"/>
      <c r="C197" s="283"/>
      <c r="D197" s="271">
        <v>2212</v>
      </c>
      <c r="E197" s="306">
        <v>5169</v>
      </c>
      <c r="F197" s="198" t="s">
        <v>32</v>
      </c>
      <c r="G197" s="113">
        <v>0</v>
      </c>
      <c r="H197" s="113">
        <v>5.1275</v>
      </c>
      <c r="I197" s="113"/>
      <c r="J197" s="113">
        <f>H197+I197</f>
        <v>5.1275</v>
      </c>
    </row>
    <row r="198" spans="1:10" ht="12.75" hidden="1">
      <c r="A198" s="363"/>
      <c r="B198" s="282"/>
      <c r="C198" s="315" t="s">
        <v>278</v>
      </c>
      <c r="D198" s="271">
        <v>2212</v>
      </c>
      <c r="E198" s="306">
        <v>5169</v>
      </c>
      <c r="F198" s="198" t="s">
        <v>32</v>
      </c>
      <c r="G198" s="113">
        <v>0</v>
      </c>
      <c r="H198" s="113">
        <f>29.055+59.29+41.14</f>
        <v>129.485</v>
      </c>
      <c r="I198" s="113"/>
      <c r="J198" s="113">
        <f>H198+I198</f>
        <v>129.485</v>
      </c>
    </row>
    <row r="199" spans="1:10" ht="13.5" hidden="1" thickBot="1">
      <c r="A199" s="363"/>
      <c r="B199" s="310"/>
      <c r="C199" s="311" t="s">
        <v>278</v>
      </c>
      <c r="D199" s="270">
        <v>2212</v>
      </c>
      <c r="E199" s="312">
        <v>5171</v>
      </c>
      <c r="F199" s="313" t="s">
        <v>281</v>
      </c>
      <c r="G199" s="188">
        <v>0</v>
      </c>
      <c r="H199" s="124">
        <v>3451.929</v>
      </c>
      <c r="I199" s="124"/>
      <c r="J199" s="188">
        <f>H199+I199</f>
        <v>3451.929</v>
      </c>
    </row>
    <row r="200" spans="1:10" ht="12.75" hidden="1">
      <c r="A200" s="363"/>
      <c r="B200" s="302" t="s">
        <v>4</v>
      </c>
      <c r="C200" s="273" t="s">
        <v>362</v>
      </c>
      <c r="D200" s="279" t="s">
        <v>2</v>
      </c>
      <c r="E200" s="279" t="s">
        <v>2</v>
      </c>
      <c r="F200" s="280" t="s">
        <v>363</v>
      </c>
      <c r="G200" s="253">
        <f>SUM(G201:G203)</f>
        <v>0</v>
      </c>
      <c r="H200" s="281">
        <f>SUM(H201:H203)</f>
        <v>1397.9925</v>
      </c>
      <c r="I200" s="253">
        <f>SUM(I201:I203)</f>
        <v>0</v>
      </c>
      <c r="J200" s="253">
        <f>SUM(J201:J203)</f>
        <v>1397.9925</v>
      </c>
    </row>
    <row r="201" spans="1:10" ht="12.75" hidden="1">
      <c r="A201" s="363"/>
      <c r="B201" s="282"/>
      <c r="C201" s="283"/>
      <c r="D201" s="271">
        <v>2212</v>
      </c>
      <c r="E201" s="306">
        <v>5169</v>
      </c>
      <c r="F201" s="198" t="s">
        <v>32</v>
      </c>
      <c r="G201" s="113">
        <v>0</v>
      </c>
      <c r="H201" s="238">
        <v>4.22</v>
      </c>
      <c r="I201" s="113"/>
      <c r="J201" s="113">
        <f>H201+I201</f>
        <v>4.22</v>
      </c>
    </row>
    <row r="202" spans="1:10" ht="12.75" hidden="1">
      <c r="A202" s="363"/>
      <c r="B202" s="282"/>
      <c r="C202" s="315" t="s">
        <v>278</v>
      </c>
      <c r="D202" s="271">
        <v>2212</v>
      </c>
      <c r="E202" s="306">
        <v>5169</v>
      </c>
      <c r="F202" s="198" t="s">
        <v>32</v>
      </c>
      <c r="G202" s="113">
        <v>0</v>
      </c>
      <c r="H202" s="113">
        <f>23.9125+19.602+13.915</f>
        <v>57.4295</v>
      </c>
      <c r="I202" s="113"/>
      <c r="J202" s="113">
        <f>H202+I202</f>
        <v>57.4295</v>
      </c>
    </row>
    <row r="203" spans="1:10" ht="13.5" hidden="1" thickBot="1">
      <c r="A203" s="363"/>
      <c r="B203" s="310"/>
      <c r="C203" s="311" t="s">
        <v>278</v>
      </c>
      <c r="D203" s="270">
        <v>2212</v>
      </c>
      <c r="E203" s="312">
        <v>5171</v>
      </c>
      <c r="F203" s="313" t="s">
        <v>281</v>
      </c>
      <c r="G203" s="188">
        <v>0</v>
      </c>
      <c r="H203" s="124">
        <v>1336.343</v>
      </c>
      <c r="I203" s="124"/>
      <c r="J203" s="188">
        <f>H203+I203</f>
        <v>1336.343</v>
      </c>
    </row>
    <row r="204" spans="1:10" ht="12.75" hidden="1">
      <c r="A204" s="363"/>
      <c r="B204" s="302" t="s">
        <v>4</v>
      </c>
      <c r="C204" s="273" t="s">
        <v>364</v>
      </c>
      <c r="D204" s="279" t="s">
        <v>2</v>
      </c>
      <c r="E204" s="279" t="s">
        <v>2</v>
      </c>
      <c r="F204" s="280" t="s">
        <v>365</v>
      </c>
      <c r="G204" s="253">
        <f>SUM(G205:G207)</f>
        <v>0</v>
      </c>
      <c r="H204" s="281">
        <f>SUM(H205:H207)</f>
        <v>2277.9485</v>
      </c>
      <c r="I204" s="253">
        <f>SUM(I205:I207)</f>
        <v>0</v>
      </c>
      <c r="J204" s="253">
        <f>SUM(J205:J207)</f>
        <v>2277.9485</v>
      </c>
    </row>
    <row r="205" spans="1:10" ht="12.75" hidden="1">
      <c r="A205" s="363"/>
      <c r="B205" s="282"/>
      <c r="C205" s="283"/>
      <c r="D205" s="271">
        <v>2212</v>
      </c>
      <c r="E205" s="306">
        <v>5169</v>
      </c>
      <c r="F205" s="198" t="s">
        <v>32</v>
      </c>
      <c r="G205" s="113">
        <v>0</v>
      </c>
      <c r="H205" s="238">
        <v>4.22</v>
      </c>
      <c r="I205" s="113"/>
      <c r="J205" s="113">
        <f>H205+I205</f>
        <v>4.22</v>
      </c>
    </row>
    <row r="206" spans="1:10" ht="12.75" hidden="1">
      <c r="A206" s="363"/>
      <c r="B206" s="282"/>
      <c r="C206" s="315" t="s">
        <v>278</v>
      </c>
      <c r="D206" s="271">
        <v>2212</v>
      </c>
      <c r="E206" s="306">
        <v>5169</v>
      </c>
      <c r="F206" s="198" t="s">
        <v>32</v>
      </c>
      <c r="G206" s="113">
        <v>0</v>
      </c>
      <c r="H206" s="113">
        <f>23.9125+19.602+13.915</f>
        <v>57.4295</v>
      </c>
      <c r="I206" s="113"/>
      <c r="J206" s="113">
        <f>H206+I206</f>
        <v>57.4295</v>
      </c>
    </row>
    <row r="207" spans="1:10" ht="13.5" hidden="1" thickBot="1">
      <c r="A207" s="363"/>
      <c r="B207" s="310"/>
      <c r="C207" s="311" t="s">
        <v>278</v>
      </c>
      <c r="D207" s="270">
        <v>2212</v>
      </c>
      <c r="E207" s="312">
        <v>5171</v>
      </c>
      <c r="F207" s="313" t="s">
        <v>281</v>
      </c>
      <c r="G207" s="188">
        <v>0</v>
      </c>
      <c r="H207" s="124">
        <v>2216.299</v>
      </c>
      <c r="I207" s="124"/>
      <c r="J207" s="188">
        <f>H207+I207</f>
        <v>2216.299</v>
      </c>
    </row>
    <row r="208" spans="1:10" ht="12.75" hidden="1">
      <c r="A208" s="363"/>
      <c r="B208" s="302" t="s">
        <v>4</v>
      </c>
      <c r="C208" s="273" t="s">
        <v>366</v>
      </c>
      <c r="D208" s="279" t="s">
        <v>2</v>
      </c>
      <c r="E208" s="279" t="s">
        <v>2</v>
      </c>
      <c r="F208" s="280" t="s">
        <v>367</v>
      </c>
      <c r="G208" s="253">
        <f>SUM(G209:G211)</f>
        <v>0</v>
      </c>
      <c r="H208" s="281">
        <f>SUM(H209:H211)</f>
        <v>4782.6385</v>
      </c>
      <c r="I208" s="253">
        <f>SUM(I209:I211)</f>
        <v>0</v>
      </c>
      <c r="J208" s="253">
        <f>SUM(J209:J211)</f>
        <v>4782.6385</v>
      </c>
    </row>
    <row r="209" spans="1:10" ht="12.75" hidden="1">
      <c r="A209" s="363"/>
      <c r="B209" s="282"/>
      <c r="C209" s="283"/>
      <c r="D209" s="271">
        <v>2212</v>
      </c>
      <c r="E209" s="306">
        <v>5169</v>
      </c>
      <c r="F209" s="198" t="s">
        <v>32</v>
      </c>
      <c r="G209" s="113">
        <v>0</v>
      </c>
      <c r="H209" s="238">
        <v>4.22</v>
      </c>
      <c r="I209" s="113"/>
      <c r="J209" s="113">
        <f>H209+I209</f>
        <v>4.22</v>
      </c>
    </row>
    <row r="210" spans="1:10" ht="12.75" hidden="1">
      <c r="A210" s="363"/>
      <c r="B210" s="282"/>
      <c r="C210" s="332" t="s">
        <v>278</v>
      </c>
      <c r="D210" s="271">
        <v>2212</v>
      </c>
      <c r="E210" s="306">
        <v>5169</v>
      </c>
      <c r="F210" s="198" t="s">
        <v>32</v>
      </c>
      <c r="G210" s="101">
        <v>0</v>
      </c>
      <c r="H210" s="113">
        <f>23.9125+19.602+13.915</f>
        <v>57.4295</v>
      </c>
      <c r="I210" s="113"/>
      <c r="J210" s="113">
        <f>H210+I210</f>
        <v>57.4295</v>
      </c>
    </row>
    <row r="211" spans="1:10" ht="13.5" hidden="1" thickBot="1">
      <c r="A211" s="363"/>
      <c r="B211" s="310"/>
      <c r="C211" s="311" t="s">
        <v>278</v>
      </c>
      <c r="D211" s="270">
        <v>2212</v>
      </c>
      <c r="E211" s="312">
        <v>5171</v>
      </c>
      <c r="F211" s="313" t="s">
        <v>281</v>
      </c>
      <c r="G211" s="188">
        <v>0</v>
      </c>
      <c r="H211" s="124">
        <v>4720.989</v>
      </c>
      <c r="I211" s="124"/>
      <c r="J211" s="188">
        <f>H211+I211</f>
        <v>4720.989</v>
      </c>
    </row>
    <row r="212" spans="1:10" ht="12.75" hidden="1">
      <c r="A212" s="363"/>
      <c r="B212" s="302" t="s">
        <v>4</v>
      </c>
      <c r="C212" s="273" t="s">
        <v>368</v>
      </c>
      <c r="D212" s="279" t="s">
        <v>2</v>
      </c>
      <c r="E212" s="279" t="s">
        <v>2</v>
      </c>
      <c r="F212" s="280" t="s">
        <v>369</v>
      </c>
      <c r="G212" s="253">
        <f>SUM(G213:G214)</f>
        <v>0</v>
      </c>
      <c r="H212" s="281">
        <f>SUM(H213:H214)</f>
        <v>28.1325</v>
      </c>
      <c r="I212" s="253">
        <f>SUM(I213:I214)</f>
        <v>0</v>
      </c>
      <c r="J212" s="253">
        <f>SUM(J213:J214)</f>
        <v>28.1325</v>
      </c>
    </row>
    <row r="213" spans="1:10" ht="12.75" hidden="1">
      <c r="A213" s="363"/>
      <c r="B213" s="282"/>
      <c r="C213" s="283"/>
      <c r="D213" s="271">
        <v>2212</v>
      </c>
      <c r="E213" s="306">
        <v>5169</v>
      </c>
      <c r="F213" s="198" t="s">
        <v>32</v>
      </c>
      <c r="G213" s="113">
        <v>0</v>
      </c>
      <c r="H213" s="238">
        <v>4.22</v>
      </c>
      <c r="I213" s="113"/>
      <c r="J213" s="113">
        <f>H213+I213</f>
        <v>4.22</v>
      </c>
    </row>
    <row r="214" spans="1:10" ht="13.5" hidden="1" thickBot="1">
      <c r="A214" s="363"/>
      <c r="B214" s="292"/>
      <c r="C214" s="326" t="s">
        <v>278</v>
      </c>
      <c r="D214" s="271">
        <v>2212</v>
      </c>
      <c r="E214" s="306">
        <v>5169</v>
      </c>
      <c r="F214" s="198" t="s">
        <v>32</v>
      </c>
      <c r="G214" s="236">
        <v>0</v>
      </c>
      <c r="H214" s="124">
        <v>23.9125</v>
      </c>
      <c r="I214" s="124"/>
      <c r="J214" s="113">
        <f>H214+I214</f>
        <v>23.9125</v>
      </c>
    </row>
    <row r="215" spans="1:10" ht="12.75" hidden="1">
      <c r="A215" s="363"/>
      <c r="B215" s="302" t="s">
        <v>4</v>
      </c>
      <c r="C215" s="273" t="s">
        <v>370</v>
      </c>
      <c r="D215" s="279" t="s">
        <v>2</v>
      </c>
      <c r="E215" s="279" t="s">
        <v>2</v>
      </c>
      <c r="F215" s="280" t="s">
        <v>371</v>
      </c>
      <c r="G215" s="253">
        <f>SUM(G216:G218)</f>
        <v>0</v>
      </c>
      <c r="H215" s="281">
        <f>SUM(H216:H218)</f>
        <v>2292.4615000000003</v>
      </c>
      <c r="I215" s="253">
        <f>SUM(I216:I218)</f>
        <v>0</v>
      </c>
      <c r="J215" s="253">
        <f>SUM(J216:J218)</f>
        <v>2292.4615000000003</v>
      </c>
    </row>
    <row r="216" spans="1:10" ht="12.75" hidden="1">
      <c r="A216" s="363"/>
      <c r="B216" s="282"/>
      <c r="C216" s="283"/>
      <c r="D216" s="271">
        <v>2212</v>
      </c>
      <c r="E216" s="306">
        <v>5169</v>
      </c>
      <c r="F216" s="198" t="s">
        <v>32</v>
      </c>
      <c r="G216" s="113">
        <v>0</v>
      </c>
      <c r="H216" s="238">
        <v>4.22</v>
      </c>
      <c r="I216" s="113"/>
      <c r="J216" s="113">
        <f>H216+I216</f>
        <v>4.22</v>
      </c>
    </row>
    <row r="217" spans="1:10" ht="12.75" hidden="1">
      <c r="A217" s="363"/>
      <c r="B217" s="282"/>
      <c r="C217" s="315" t="s">
        <v>278</v>
      </c>
      <c r="D217" s="271">
        <v>2212</v>
      </c>
      <c r="E217" s="306">
        <v>5169</v>
      </c>
      <c r="F217" s="198" t="s">
        <v>32</v>
      </c>
      <c r="G217" s="113">
        <v>0</v>
      </c>
      <c r="H217" s="113">
        <f>23.9125+12.281+10.121</f>
        <v>46.3145</v>
      </c>
      <c r="I217" s="113"/>
      <c r="J217" s="113">
        <f>H217+I217</f>
        <v>46.3145</v>
      </c>
    </row>
    <row r="218" spans="1:10" ht="13.5" hidden="1" thickBot="1">
      <c r="A218" s="363"/>
      <c r="B218" s="310"/>
      <c r="C218" s="311" t="s">
        <v>278</v>
      </c>
      <c r="D218" s="270">
        <v>2212</v>
      </c>
      <c r="E218" s="312">
        <v>5171</v>
      </c>
      <c r="F218" s="313" t="s">
        <v>281</v>
      </c>
      <c r="G218" s="188">
        <v>0</v>
      </c>
      <c r="H218" s="124">
        <v>2241.927</v>
      </c>
      <c r="I218" s="124"/>
      <c r="J218" s="188">
        <f>H218+I218</f>
        <v>2241.927</v>
      </c>
    </row>
    <row r="219" spans="1:10" ht="12.75" hidden="1">
      <c r="A219" s="363"/>
      <c r="B219" s="302" t="s">
        <v>4</v>
      </c>
      <c r="C219" s="273" t="s">
        <v>372</v>
      </c>
      <c r="D219" s="279" t="s">
        <v>2</v>
      </c>
      <c r="E219" s="279" t="s">
        <v>2</v>
      </c>
      <c r="F219" s="280" t="s">
        <v>373</v>
      </c>
      <c r="G219" s="253">
        <f>SUM(G220:G222)</f>
        <v>0</v>
      </c>
      <c r="H219" s="281">
        <f>SUM(H220:H222)</f>
        <v>4477.6365000000005</v>
      </c>
      <c r="I219" s="253">
        <f>SUM(I220:I222)</f>
        <v>0</v>
      </c>
      <c r="J219" s="253">
        <f>SUM(J220:J222)</f>
        <v>4477.6365000000005</v>
      </c>
    </row>
    <row r="220" spans="1:10" ht="12.75" hidden="1">
      <c r="A220" s="363"/>
      <c r="B220" s="282"/>
      <c r="C220" s="283"/>
      <c r="D220" s="271">
        <v>2212</v>
      </c>
      <c r="E220" s="306">
        <v>5169</v>
      </c>
      <c r="F220" s="198" t="s">
        <v>32</v>
      </c>
      <c r="G220" s="113">
        <v>0</v>
      </c>
      <c r="H220" s="238">
        <v>4.22</v>
      </c>
      <c r="I220" s="113"/>
      <c r="J220" s="113">
        <f>H220+I220</f>
        <v>4.22</v>
      </c>
    </row>
    <row r="221" spans="1:10" ht="12.75" hidden="1">
      <c r="A221" s="363"/>
      <c r="B221" s="282"/>
      <c r="C221" s="315" t="s">
        <v>278</v>
      </c>
      <c r="D221" s="271">
        <v>2212</v>
      </c>
      <c r="E221" s="306">
        <v>5169</v>
      </c>
      <c r="F221" s="198" t="s">
        <v>32</v>
      </c>
      <c r="G221" s="113">
        <v>0</v>
      </c>
      <c r="H221" s="113">
        <f>23.9125+12.282+10.122</f>
        <v>46.316500000000005</v>
      </c>
      <c r="I221" s="113"/>
      <c r="J221" s="113">
        <f>H221+I221</f>
        <v>46.316500000000005</v>
      </c>
    </row>
    <row r="222" spans="1:10" ht="13.5" hidden="1" thickBot="1">
      <c r="A222" s="363"/>
      <c r="B222" s="310"/>
      <c r="C222" s="311" t="s">
        <v>278</v>
      </c>
      <c r="D222" s="270">
        <v>2212</v>
      </c>
      <c r="E222" s="312">
        <v>5171</v>
      </c>
      <c r="F222" s="313" t="s">
        <v>281</v>
      </c>
      <c r="G222" s="188">
        <v>0</v>
      </c>
      <c r="H222" s="316">
        <v>4427.1</v>
      </c>
      <c r="I222" s="124"/>
      <c r="J222" s="188">
        <f>H222+I222</f>
        <v>4427.1</v>
      </c>
    </row>
    <row r="223" spans="1:10" ht="12.75" hidden="1">
      <c r="A223" s="363"/>
      <c r="B223" s="302" t="s">
        <v>4</v>
      </c>
      <c r="C223" s="273" t="s">
        <v>374</v>
      </c>
      <c r="D223" s="279" t="s">
        <v>2</v>
      </c>
      <c r="E223" s="279" t="s">
        <v>2</v>
      </c>
      <c r="F223" s="280" t="s">
        <v>375</v>
      </c>
      <c r="G223" s="253">
        <f>SUM(G224:G226)</f>
        <v>0</v>
      </c>
      <c r="H223" s="281">
        <f>SUM(H224:H226)</f>
        <v>1455.4835</v>
      </c>
      <c r="I223" s="253">
        <f>SUM(I224:I226)</f>
        <v>0</v>
      </c>
      <c r="J223" s="253">
        <f>SUM(J224:J226)</f>
        <v>1455.4835</v>
      </c>
    </row>
    <row r="224" spans="1:10" ht="12.75" hidden="1">
      <c r="A224" s="363"/>
      <c r="B224" s="282"/>
      <c r="C224" s="283"/>
      <c r="D224" s="271">
        <v>2212</v>
      </c>
      <c r="E224" s="306">
        <v>5169</v>
      </c>
      <c r="F224" s="198" t="s">
        <v>32</v>
      </c>
      <c r="G224" s="113">
        <v>0</v>
      </c>
      <c r="H224" s="238">
        <v>4.22</v>
      </c>
      <c r="I224" s="113"/>
      <c r="J224" s="113">
        <f>H224+I224</f>
        <v>4.22</v>
      </c>
    </row>
    <row r="225" spans="1:10" ht="12.75" hidden="1">
      <c r="A225" s="363"/>
      <c r="B225" s="282"/>
      <c r="C225" s="315" t="s">
        <v>278</v>
      </c>
      <c r="D225" s="271">
        <v>2212</v>
      </c>
      <c r="E225" s="306">
        <v>5169</v>
      </c>
      <c r="F225" s="198" t="s">
        <v>32</v>
      </c>
      <c r="G225" s="113">
        <v>0</v>
      </c>
      <c r="H225" s="113">
        <f>23.9125+14.823+9.378</f>
        <v>48.1135</v>
      </c>
      <c r="I225" s="113"/>
      <c r="J225" s="113">
        <f>H225+I225</f>
        <v>48.1135</v>
      </c>
    </row>
    <row r="226" spans="1:10" ht="13.5" hidden="1" thickBot="1">
      <c r="A226" s="363"/>
      <c r="B226" s="310"/>
      <c r="C226" s="283"/>
      <c r="D226" s="270">
        <v>2212</v>
      </c>
      <c r="E226" s="312">
        <v>5171</v>
      </c>
      <c r="F226" s="313" t="s">
        <v>281</v>
      </c>
      <c r="G226" s="188">
        <v>0</v>
      </c>
      <c r="H226" s="124">
        <v>1403.15</v>
      </c>
      <c r="I226" s="124"/>
      <c r="J226" s="188">
        <f>H226+I226</f>
        <v>1403.15</v>
      </c>
    </row>
    <row r="227" spans="1:10" ht="12.75" hidden="1">
      <c r="A227" s="363"/>
      <c r="B227" s="302" t="s">
        <v>4</v>
      </c>
      <c r="C227" s="273" t="s">
        <v>376</v>
      </c>
      <c r="D227" s="279" t="s">
        <v>2</v>
      </c>
      <c r="E227" s="279" t="s">
        <v>2</v>
      </c>
      <c r="F227" s="280" t="s">
        <v>377</v>
      </c>
      <c r="G227" s="253">
        <f>SUM(G228:G230)</f>
        <v>0</v>
      </c>
      <c r="H227" s="281">
        <f>SUM(H228:H230)</f>
        <v>1650.8045</v>
      </c>
      <c r="I227" s="253">
        <f>SUM(I228:I230)</f>
        <v>0</v>
      </c>
      <c r="J227" s="253">
        <f>SUM(J228:J230)</f>
        <v>1650.8045</v>
      </c>
    </row>
    <row r="228" spans="1:10" ht="12.75" hidden="1">
      <c r="A228" s="363"/>
      <c r="B228" s="282"/>
      <c r="C228" s="283"/>
      <c r="D228" s="271">
        <v>2212</v>
      </c>
      <c r="E228" s="306">
        <v>5169</v>
      </c>
      <c r="F228" s="198" t="s">
        <v>32</v>
      </c>
      <c r="G228" s="113">
        <v>0</v>
      </c>
      <c r="H228" s="238">
        <v>4.22</v>
      </c>
      <c r="I228" s="113"/>
      <c r="J228" s="113">
        <f>H228+I228</f>
        <v>4.22</v>
      </c>
    </row>
    <row r="229" spans="1:10" ht="12.75" hidden="1">
      <c r="A229" s="363"/>
      <c r="B229" s="282"/>
      <c r="C229" s="315" t="s">
        <v>278</v>
      </c>
      <c r="D229" s="271">
        <v>2212</v>
      </c>
      <c r="E229" s="306">
        <v>5169</v>
      </c>
      <c r="F229" s="198" t="s">
        <v>32</v>
      </c>
      <c r="G229" s="113">
        <v>0</v>
      </c>
      <c r="H229" s="113">
        <f>23.9125+14.823+9.378</f>
        <v>48.1135</v>
      </c>
      <c r="I229" s="113"/>
      <c r="J229" s="113">
        <f>H229+I229</f>
        <v>48.1135</v>
      </c>
    </row>
    <row r="230" spans="1:10" ht="13.5" hidden="1" thickBot="1">
      <c r="A230" s="363"/>
      <c r="B230" s="310"/>
      <c r="C230" s="311" t="s">
        <v>278</v>
      </c>
      <c r="D230" s="270">
        <v>2212</v>
      </c>
      <c r="E230" s="312">
        <v>5171</v>
      </c>
      <c r="F230" s="313" t="s">
        <v>281</v>
      </c>
      <c r="G230" s="188">
        <v>0</v>
      </c>
      <c r="H230" s="124">
        <v>1598.471</v>
      </c>
      <c r="I230" s="124"/>
      <c r="J230" s="188">
        <f>H230+I230</f>
        <v>1598.471</v>
      </c>
    </row>
    <row r="231" spans="1:10" ht="12.75" hidden="1">
      <c r="A231" s="363"/>
      <c r="B231" s="302" t="s">
        <v>4</v>
      </c>
      <c r="C231" s="273" t="s">
        <v>378</v>
      </c>
      <c r="D231" s="279" t="s">
        <v>2</v>
      </c>
      <c r="E231" s="279" t="s">
        <v>2</v>
      </c>
      <c r="F231" s="280" t="s">
        <v>379</v>
      </c>
      <c r="G231" s="253">
        <f>SUM(G232:G234)</f>
        <v>0</v>
      </c>
      <c r="H231" s="281">
        <f>SUM(H232:H234)</f>
        <v>2806.5924999999997</v>
      </c>
      <c r="I231" s="253">
        <f>SUM(I232:I234)</f>
        <v>0</v>
      </c>
      <c r="J231" s="253">
        <f>SUM(J232:J234)</f>
        <v>2806.5924999999997</v>
      </c>
    </row>
    <row r="232" spans="1:10" ht="12.75" hidden="1">
      <c r="A232" s="363"/>
      <c r="B232" s="282"/>
      <c r="C232" s="283"/>
      <c r="D232" s="271">
        <v>2212</v>
      </c>
      <c r="E232" s="306">
        <v>5169</v>
      </c>
      <c r="F232" s="198" t="s">
        <v>32</v>
      </c>
      <c r="G232" s="113">
        <v>0</v>
      </c>
      <c r="H232" s="238">
        <v>4.22</v>
      </c>
      <c r="I232" s="113"/>
      <c r="J232" s="113">
        <f>H232+I232</f>
        <v>4.22</v>
      </c>
    </row>
    <row r="233" spans="1:10" ht="12.75" hidden="1">
      <c r="A233" s="363"/>
      <c r="B233" s="282"/>
      <c r="C233" s="315" t="s">
        <v>278</v>
      </c>
      <c r="D233" s="271">
        <v>2212</v>
      </c>
      <c r="E233" s="306">
        <v>5169</v>
      </c>
      <c r="F233" s="198" t="s">
        <v>32</v>
      </c>
      <c r="G233" s="113">
        <v>0</v>
      </c>
      <c r="H233" s="113">
        <f>23.9125+26.922+19.844</f>
        <v>70.67850000000001</v>
      </c>
      <c r="I233" s="113"/>
      <c r="J233" s="113">
        <f>H233+I233</f>
        <v>70.67850000000001</v>
      </c>
    </row>
    <row r="234" spans="1:10" ht="13.5" hidden="1" thickBot="1">
      <c r="A234" s="363"/>
      <c r="B234" s="310"/>
      <c r="C234" s="311" t="s">
        <v>278</v>
      </c>
      <c r="D234" s="270">
        <v>2212</v>
      </c>
      <c r="E234" s="312">
        <v>5171</v>
      </c>
      <c r="F234" s="313" t="s">
        <v>281</v>
      </c>
      <c r="G234" s="188">
        <v>0</v>
      </c>
      <c r="H234" s="124">
        <v>2731.694</v>
      </c>
      <c r="I234" s="124"/>
      <c r="J234" s="188">
        <f>H234+I234</f>
        <v>2731.694</v>
      </c>
    </row>
    <row r="235" spans="1:10" ht="12.75" hidden="1">
      <c r="A235" s="363"/>
      <c r="B235" s="302" t="s">
        <v>4</v>
      </c>
      <c r="C235" s="273" t="s">
        <v>380</v>
      </c>
      <c r="D235" s="279" t="s">
        <v>2</v>
      </c>
      <c r="E235" s="279" t="s">
        <v>2</v>
      </c>
      <c r="F235" s="280" t="s">
        <v>381</v>
      </c>
      <c r="G235" s="253">
        <f>SUM(G236:G238)</f>
        <v>0</v>
      </c>
      <c r="H235" s="281">
        <f>SUM(H236:H238)</f>
        <v>4798.0685</v>
      </c>
      <c r="I235" s="253">
        <f>SUM(I236:I238)</f>
        <v>0</v>
      </c>
      <c r="J235" s="253">
        <f>SUM(J236:J238)</f>
        <v>4798.0685</v>
      </c>
    </row>
    <row r="236" spans="1:10" ht="12.75" hidden="1">
      <c r="A236" s="363"/>
      <c r="B236" s="282"/>
      <c r="C236" s="283"/>
      <c r="D236" s="271">
        <v>2212</v>
      </c>
      <c r="E236" s="306">
        <v>5169</v>
      </c>
      <c r="F236" s="198" t="s">
        <v>32</v>
      </c>
      <c r="G236" s="113">
        <v>0</v>
      </c>
      <c r="H236" s="238">
        <v>4.22</v>
      </c>
      <c r="I236" s="113"/>
      <c r="J236" s="113">
        <f>H236+I236</f>
        <v>4.22</v>
      </c>
    </row>
    <row r="237" spans="1:10" ht="12.75" hidden="1">
      <c r="A237" s="363"/>
      <c r="B237" s="282"/>
      <c r="C237" s="315" t="s">
        <v>278</v>
      </c>
      <c r="D237" s="271">
        <v>2212</v>
      </c>
      <c r="E237" s="306">
        <v>5169</v>
      </c>
      <c r="F237" s="198" t="s">
        <v>32</v>
      </c>
      <c r="G237" s="113">
        <v>0</v>
      </c>
      <c r="H237" s="113">
        <f>23.9125+64.13+51.425</f>
        <v>139.46749999999997</v>
      </c>
      <c r="I237" s="113"/>
      <c r="J237" s="113">
        <f>H237+I237</f>
        <v>139.46749999999997</v>
      </c>
    </row>
    <row r="238" spans="1:10" ht="13.5" hidden="1" thickBot="1">
      <c r="A238" s="363"/>
      <c r="B238" s="292"/>
      <c r="C238" s="326" t="s">
        <v>278</v>
      </c>
      <c r="D238" s="271">
        <v>2212</v>
      </c>
      <c r="E238" s="325">
        <v>5171</v>
      </c>
      <c r="F238" s="275" t="s">
        <v>281</v>
      </c>
      <c r="G238" s="236">
        <v>0</v>
      </c>
      <c r="H238" s="124">
        <v>4654.381</v>
      </c>
      <c r="I238" s="124"/>
      <c r="J238" s="124">
        <f>H238+I238</f>
        <v>4654.381</v>
      </c>
    </row>
    <row r="239" spans="1:10" ht="12.75" hidden="1">
      <c r="A239" s="363"/>
      <c r="B239" s="302" t="s">
        <v>4</v>
      </c>
      <c r="C239" s="273" t="s">
        <v>382</v>
      </c>
      <c r="D239" s="279" t="s">
        <v>2</v>
      </c>
      <c r="E239" s="279" t="s">
        <v>2</v>
      </c>
      <c r="F239" s="280" t="s">
        <v>383</v>
      </c>
      <c r="G239" s="253">
        <f>SUM(G240:G242)</f>
        <v>0</v>
      </c>
      <c r="H239" s="281">
        <f>SUM(H240:H242)</f>
        <v>9853.4165</v>
      </c>
      <c r="I239" s="253">
        <f>SUM(I240:I242)</f>
        <v>0</v>
      </c>
      <c r="J239" s="253">
        <f>SUM(J240:J242)</f>
        <v>9853.4165</v>
      </c>
    </row>
    <row r="240" spans="1:10" ht="12.75" hidden="1">
      <c r="A240" s="363"/>
      <c r="B240" s="282"/>
      <c r="C240" s="283"/>
      <c r="D240" s="271">
        <v>2212</v>
      </c>
      <c r="E240" s="306">
        <v>5169</v>
      </c>
      <c r="F240" s="198" t="s">
        <v>32</v>
      </c>
      <c r="G240" s="113">
        <v>0</v>
      </c>
      <c r="H240" s="238">
        <v>4.22</v>
      </c>
      <c r="I240" s="113"/>
      <c r="J240" s="113">
        <f>H240+I240</f>
        <v>4.22</v>
      </c>
    </row>
    <row r="241" spans="1:10" ht="12.75" hidden="1">
      <c r="A241" s="363"/>
      <c r="B241" s="282"/>
      <c r="C241" s="315" t="s">
        <v>278</v>
      </c>
      <c r="D241" s="271">
        <v>2212</v>
      </c>
      <c r="E241" s="306">
        <v>5169</v>
      </c>
      <c r="F241" s="198" t="s">
        <v>32</v>
      </c>
      <c r="G241" s="113">
        <v>0</v>
      </c>
      <c r="H241" s="113">
        <f>23.9125+64.13+51.425</f>
        <v>139.46749999999997</v>
      </c>
      <c r="I241" s="113"/>
      <c r="J241" s="113">
        <f>H241+I241</f>
        <v>139.46749999999997</v>
      </c>
    </row>
    <row r="242" spans="1:10" ht="13.5" hidden="1" thickBot="1">
      <c r="A242" s="363"/>
      <c r="B242" s="292"/>
      <c r="C242" s="326" t="s">
        <v>278</v>
      </c>
      <c r="D242" s="271">
        <v>2212</v>
      </c>
      <c r="E242" s="325">
        <v>5171</v>
      </c>
      <c r="F242" s="275" t="s">
        <v>281</v>
      </c>
      <c r="G242" s="236">
        <v>0</v>
      </c>
      <c r="H242" s="124">
        <v>9709.729</v>
      </c>
      <c r="I242" s="124"/>
      <c r="J242" s="124">
        <f>H242+I242</f>
        <v>9709.729</v>
      </c>
    </row>
    <row r="243" spans="1:10" ht="12.75" hidden="1">
      <c r="A243" s="363"/>
      <c r="B243" s="302" t="s">
        <v>4</v>
      </c>
      <c r="C243" s="273" t="s">
        <v>384</v>
      </c>
      <c r="D243" s="279" t="s">
        <v>2</v>
      </c>
      <c r="E243" s="279" t="s">
        <v>2</v>
      </c>
      <c r="F243" s="280" t="s">
        <v>385</v>
      </c>
      <c r="G243" s="253">
        <f>SUM(G244:G246)</f>
        <v>0</v>
      </c>
      <c r="H243" s="281">
        <f>SUM(H244:H246)</f>
        <v>4297.423500000001</v>
      </c>
      <c r="I243" s="253">
        <f>SUM(I244:I246)</f>
        <v>0</v>
      </c>
      <c r="J243" s="253">
        <f>SUM(J244:J246)</f>
        <v>4297.423500000001</v>
      </c>
    </row>
    <row r="244" spans="1:10" ht="12.75" hidden="1">
      <c r="A244" s="363"/>
      <c r="B244" s="282"/>
      <c r="C244" s="283"/>
      <c r="D244" s="271">
        <v>2212</v>
      </c>
      <c r="E244" s="306">
        <v>5169</v>
      </c>
      <c r="F244" s="198" t="s">
        <v>32</v>
      </c>
      <c r="G244" s="113">
        <v>0</v>
      </c>
      <c r="H244" s="238">
        <v>4.22</v>
      </c>
      <c r="I244" s="113"/>
      <c r="J244" s="113">
        <f>H244+I244</f>
        <v>4.22</v>
      </c>
    </row>
    <row r="245" spans="1:10" ht="12.75" hidden="1">
      <c r="A245" s="363"/>
      <c r="B245" s="282"/>
      <c r="C245" s="315" t="s">
        <v>278</v>
      </c>
      <c r="D245" s="271">
        <v>2212</v>
      </c>
      <c r="E245" s="306">
        <v>5169</v>
      </c>
      <c r="F245" s="198" t="s">
        <v>32</v>
      </c>
      <c r="G245" s="113">
        <v>0</v>
      </c>
      <c r="H245" s="113">
        <f>23.9125+49.126+38.163</f>
        <v>111.2015</v>
      </c>
      <c r="I245" s="113"/>
      <c r="J245" s="113">
        <f>H245+I245</f>
        <v>111.2015</v>
      </c>
    </row>
    <row r="246" spans="1:10" ht="13.5" hidden="1" thickBot="1">
      <c r="A246" s="363"/>
      <c r="B246" s="310"/>
      <c r="C246" s="311" t="s">
        <v>278</v>
      </c>
      <c r="D246" s="261">
        <v>2212</v>
      </c>
      <c r="E246" s="325">
        <v>5171</v>
      </c>
      <c r="F246" s="275" t="s">
        <v>281</v>
      </c>
      <c r="G246" s="188">
        <v>0</v>
      </c>
      <c r="H246" s="124">
        <v>4182.002</v>
      </c>
      <c r="I246" s="124"/>
      <c r="J246" s="124">
        <f>H246+I246</f>
        <v>4182.002</v>
      </c>
    </row>
    <row r="247" spans="1:10" ht="12.75" hidden="1">
      <c r="A247" s="363"/>
      <c r="B247" s="302" t="s">
        <v>4</v>
      </c>
      <c r="C247" s="273" t="s">
        <v>386</v>
      </c>
      <c r="D247" s="279" t="s">
        <v>2</v>
      </c>
      <c r="E247" s="279" t="s">
        <v>2</v>
      </c>
      <c r="F247" s="280" t="s">
        <v>387</v>
      </c>
      <c r="G247" s="253">
        <f>SUM(G248:G249)</f>
        <v>0</v>
      </c>
      <c r="H247" s="281">
        <f>SUM(H248:H249)</f>
        <v>132.053</v>
      </c>
      <c r="I247" s="253">
        <f>SUM(I248:I249)</f>
        <v>0</v>
      </c>
      <c r="J247" s="253">
        <f>SUM(J248:J249)</f>
        <v>132.053</v>
      </c>
    </row>
    <row r="248" spans="1:10" ht="12.75" hidden="1">
      <c r="A248" s="363"/>
      <c r="B248" s="333"/>
      <c r="C248" s="283"/>
      <c r="D248" s="271">
        <v>2212</v>
      </c>
      <c r="E248" s="306">
        <v>5169</v>
      </c>
      <c r="F248" s="198" t="s">
        <v>32</v>
      </c>
      <c r="G248" s="113">
        <v>0</v>
      </c>
      <c r="H248" s="113">
        <v>27.225</v>
      </c>
      <c r="I248" s="113"/>
      <c r="J248" s="113">
        <f>H248+I248</f>
        <v>27.225</v>
      </c>
    </row>
    <row r="249" spans="1:10" ht="13.5" hidden="1" thickBot="1">
      <c r="A249" s="363"/>
      <c r="B249" s="323"/>
      <c r="C249" s="331"/>
      <c r="D249" s="261">
        <v>2212</v>
      </c>
      <c r="E249" s="325">
        <v>5171</v>
      </c>
      <c r="F249" s="275" t="s">
        <v>281</v>
      </c>
      <c r="G249" s="124">
        <v>0</v>
      </c>
      <c r="H249" s="124">
        <v>104.828</v>
      </c>
      <c r="I249" s="124"/>
      <c r="J249" s="124">
        <f>H249+I249</f>
        <v>104.828</v>
      </c>
    </row>
    <row r="250" spans="1:10" ht="12.75" hidden="1">
      <c r="A250" s="363"/>
      <c r="B250" s="302" t="s">
        <v>4</v>
      </c>
      <c r="C250" s="273" t="s">
        <v>388</v>
      </c>
      <c r="D250" s="279" t="s">
        <v>2</v>
      </c>
      <c r="E250" s="279" t="s">
        <v>2</v>
      </c>
      <c r="F250" s="280" t="s">
        <v>389</v>
      </c>
      <c r="G250" s="253">
        <f>SUM(G251:G253)</f>
        <v>0</v>
      </c>
      <c r="H250" s="281">
        <f>SUM(H251:H253)</f>
        <v>1001.402</v>
      </c>
      <c r="I250" s="253">
        <f>SUM(I251:I253)</f>
        <v>0</v>
      </c>
      <c r="J250" s="253">
        <f>SUM(J251:J253)</f>
        <v>1001.402</v>
      </c>
    </row>
    <row r="251" spans="1:10" ht="12.75" hidden="1">
      <c r="A251" s="363"/>
      <c r="B251" s="282"/>
      <c r="C251" s="283"/>
      <c r="D251" s="271">
        <v>2212</v>
      </c>
      <c r="E251" s="306">
        <v>5169</v>
      </c>
      <c r="F251" s="198" t="s">
        <v>32</v>
      </c>
      <c r="G251" s="113">
        <v>0</v>
      </c>
      <c r="H251" s="113">
        <v>39.325</v>
      </c>
      <c r="I251" s="113"/>
      <c r="J251" s="113">
        <f>H251+I251</f>
        <v>39.325</v>
      </c>
    </row>
    <row r="252" spans="1:10" ht="12.75" hidden="1">
      <c r="A252" s="363"/>
      <c r="B252" s="282"/>
      <c r="C252" s="315" t="s">
        <v>278</v>
      </c>
      <c r="D252" s="271">
        <v>2212</v>
      </c>
      <c r="E252" s="306">
        <v>5169</v>
      </c>
      <c r="F252" s="198" t="s">
        <v>32</v>
      </c>
      <c r="G252" s="113">
        <v>0</v>
      </c>
      <c r="H252" s="113">
        <f>29.04+26.051</f>
        <v>55.090999999999994</v>
      </c>
      <c r="I252" s="113"/>
      <c r="J252" s="113">
        <f>H252+I252</f>
        <v>55.090999999999994</v>
      </c>
    </row>
    <row r="253" spans="1:10" ht="13.5" hidden="1" thickBot="1">
      <c r="A253" s="363"/>
      <c r="B253" s="310"/>
      <c r="C253" s="311" t="s">
        <v>278</v>
      </c>
      <c r="D253" s="261">
        <v>2212</v>
      </c>
      <c r="E253" s="325">
        <v>5171</v>
      </c>
      <c r="F253" s="275" t="s">
        <v>281</v>
      </c>
      <c r="G253" s="188">
        <v>0</v>
      </c>
      <c r="H253" s="124">
        <v>906.986</v>
      </c>
      <c r="I253" s="113"/>
      <c r="J253" s="124">
        <f>H253+I253</f>
        <v>906.986</v>
      </c>
    </row>
    <row r="254" spans="1:10" ht="12.75" hidden="1">
      <c r="A254" s="363"/>
      <c r="B254" s="302" t="s">
        <v>4</v>
      </c>
      <c r="C254" s="273" t="s">
        <v>390</v>
      </c>
      <c r="D254" s="279" t="s">
        <v>2</v>
      </c>
      <c r="E254" s="279" t="s">
        <v>2</v>
      </c>
      <c r="F254" s="280" t="s">
        <v>391</v>
      </c>
      <c r="G254" s="253">
        <f>SUM(G255:G257)</f>
        <v>0</v>
      </c>
      <c r="H254" s="281">
        <f>SUM(H255:H257)</f>
        <v>3018.022</v>
      </c>
      <c r="I254" s="253">
        <f>SUM(I255:I257)</f>
        <v>0</v>
      </c>
      <c r="J254" s="253">
        <f>SUM(J255:J257)</f>
        <v>3018.022</v>
      </c>
    </row>
    <row r="255" spans="1:10" ht="12.75" hidden="1">
      <c r="A255" s="363"/>
      <c r="B255" s="282"/>
      <c r="C255" s="283"/>
      <c r="D255" s="271">
        <v>2212</v>
      </c>
      <c r="E255" s="306">
        <v>5169</v>
      </c>
      <c r="F255" s="198" t="s">
        <v>32</v>
      </c>
      <c r="G255" s="113">
        <v>0</v>
      </c>
      <c r="H255" s="113">
        <v>63.525</v>
      </c>
      <c r="I255" s="113"/>
      <c r="J255" s="113">
        <f>H255+I255</f>
        <v>63.525</v>
      </c>
    </row>
    <row r="256" spans="1:10" ht="12.75" hidden="1">
      <c r="A256" s="363"/>
      <c r="B256" s="282"/>
      <c r="C256" s="315" t="s">
        <v>278</v>
      </c>
      <c r="D256" s="271">
        <v>2212</v>
      </c>
      <c r="E256" s="306">
        <v>5169</v>
      </c>
      <c r="F256" s="198" t="s">
        <v>32</v>
      </c>
      <c r="G256" s="113">
        <v>0</v>
      </c>
      <c r="H256" s="238">
        <f>48.4+20.57</f>
        <v>68.97</v>
      </c>
      <c r="I256" s="113"/>
      <c r="J256" s="113">
        <f>H256+I256</f>
        <v>68.97</v>
      </c>
    </row>
    <row r="257" spans="1:10" ht="13.5" hidden="1" thickBot="1">
      <c r="A257" s="363"/>
      <c r="B257" s="310"/>
      <c r="C257" s="311" t="s">
        <v>278</v>
      </c>
      <c r="D257" s="261">
        <v>2212</v>
      </c>
      <c r="E257" s="325">
        <v>5171</v>
      </c>
      <c r="F257" s="275" t="s">
        <v>281</v>
      </c>
      <c r="G257" s="188">
        <v>0</v>
      </c>
      <c r="H257" s="124">
        <v>2885.527</v>
      </c>
      <c r="I257" s="124"/>
      <c r="J257" s="124">
        <f>H257+I257</f>
        <v>2885.527</v>
      </c>
    </row>
    <row r="258" spans="1:10" ht="12.75" hidden="1">
      <c r="A258" s="363"/>
      <c r="B258" s="302" t="s">
        <v>4</v>
      </c>
      <c r="C258" s="273" t="s">
        <v>392</v>
      </c>
      <c r="D258" s="279" t="s">
        <v>2</v>
      </c>
      <c r="E258" s="279" t="s">
        <v>2</v>
      </c>
      <c r="F258" s="280" t="s">
        <v>393</v>
      </c>
      <c r="G258" s="253">
        <f>SUM(G259:G261)</f>
        <v>0</v>
      </c>
      <c r="H258" s="281">
        <f>SUM(H259:H261)</f>
        <v>642.8910000000001</v>
      </c>
      <c r="I258" s="253">
        <f>SUM(I259:I261)</f>
        <v>0</v>
      </c>
      <c r="J258" s="253">
        <f>SUM(J259:J261)</f>
        <v>642.8910000000001</v>
      </c>
    </row>
    <row r="259" spans="1:10" ht="12.75" hidden="1">
      <c r="A259" s="363"/>
      <c r="B259" s="282"/>
      <c r="C259" s="283"/>
      <c r="D259" s="271">
        <v>2212</v>
      </c>
      <c r="E259" s="306">
        <v>5169</v>
      </c>
      <c r="F259" s="198" t="s">
        <v>32</v>
      </c>
      <c r="G259" s="113">
        <v>0</v>
      </c>
      <c r="H259" s="113">
        <v>39.325</v>
      </c>
      <c r="I259" s="113"/>
      <c r="J259" s="113">
        <f>H259+I259</f>
        <v>39.325</v>
      </c>
    </row>
    <row r="260" spans="1:10" ht="12.75" hidden="1">
      <c r="A260" s="363"/>
      <c r="B260" s="282"/>
      <c r="C260" s="315" t="s">
        <v>278</v>
      </c>
      <c r="D260" s="271">
        <v>2212</v>
      </c>
      <c r="E260" s="306">
        <v>5169</v>
      </c>
      <c r="F260" s="198" t="s">
        <v>32</v>
      </c>
      <c r="G260" s="113">
        <v>0</v>
      </c>
      <c r="H260" s="113">
        <f>32.838+27.225</f>
        <v>60.063</v>
      </c>
      <c r="I260" s="113"/>
      <c r="J260" s="113">
        <f>H260+I260</f>
        <v>60.063</v>
      </c>
    </row>
    <row r="261" spans="1:10" ht="13.5" hidden="1" thickBot="1">
      <c r="A261" s="363"/>
      <c r="B261" s="282"/>
      <c r="C261" s="283"/>
      <c r="D261" s="271">
        <v>2212</v>
      </c>
      <c r="E261" s="306">
        <v>5171</v>
      </c>
      <c r="F261" s="307" t="s">
        <v>281</v>
      </c>
      <c r="G261" s="113">
        <v>0</v>
      </c>
      <c r="H261" s="124">
        <v>543.503</v>
      </c>
      <c r="I261" s="124"/>
      <c r="J261" s="113">
        <f>H261+I261</f>
        <v>543.503</v>
      </c>
    </row>
    <row r="262" spans="1:10" ht="12.75" hidden="1">
      <c r="A262" s="363"/>
      <c r="B262" s="302" t="s">
        <v>4</v>
      </c>
      <c r="C262" s="273" t="s">
        <v>394</v>
      </c>
      <c r="D262" s="279" t="s">
        <v>2</v>
      </c>
      <c r="E262" s="279" t="s">
        <v>2</v>
      </c>
      <c r="F262" s="280" t="s">
        <v>395</v>
      </c>
      <c r="G262" s="253">
        <f>SUM(G263:G265)</f>
        <v>0</v>
      </c>
      <c r="H262" s="281">
        <f>SUM(H263:H265)</f>
        <v>10349.389</v>
      </c>
      <c r="I262" s="253">
        <f>SUM(I263:I265)</f>
        <v>0</v>
      </c>
      <c r="J262" s="253">
        <f>SUM(J263:J265)</f>
        <v>10349.389</v>
      </c>
    </row>
    <row r="263" spans="1:10" ht="12.75" hidden="1">
      <c r="A263" s="363"/>
      <c r="B263" s="282"/>
      <c r="C263" s="283"/>
      <c r="D263" s="271">
        <v>2212</v>
      </c>
      <c r="E263" s="306">
        <v>5169</v>
      </c>
      <c r="F263" s="198" t="s">
        <v>32</v>
      </c>
      <c r="G263" s="113">
        <v>0</v>
      </c>
      <c r="H263" s="113">
        <v>51.425</v>
      </c>
      <c r="I263" s="113"/>
      <c r="J263" s="113">
        <f>H263+I263</f>
        <v>51.425</v>
      </c>
    </row>
    <row r="264" spans="1:10" ht="12.75" hidden="1">
      <c r="A264" s="363"/>
      <c r="B264" s="282"/>
      <c r="C264" s="315" t="s">
        <v>278</v>
      </c>
      <c r="D264" s="271">
        <v>2212</v>
      </c>
      <c r="E264" s="306">
        <v>5169</v>
      </c>
      <c r="F264" s="198" t="s">
        <v>32</v>
      </c>
      <c r="G264" s="113">
        <v>0</v>
      </c>
      <c r="H264" s="113">
        <f>84.441+51.425</f>
        <v>135.86599999999999</v>
      </c>
      <c r="I264" s="113"/>
      <c r="J264" s="113">
        <f>H264+I264</f>
        <v>135.86599999999999</v>
      </c>
    </row>
    <row r="265" spans="1:10" ht="13.5" hidden="1" thickBot="1">
      <c r="A265" s="363"/>
      <c r="B265" s="310"/>
      <c r="C265" s="311" t="s">
        <v>278</v>
      </c>
      <c r="D265" s="270">
        <v>2212</v>
      </c>
      <c r="E265" s="312">
        <v>5171</v>
      </c>
      <c r="F265" s="313" t="s">
        <v>281</v>
      </c>
      <c r="G265" s="188">
        <v>0</v>
      </c>
      <c r="H265" s="124">
        <v>10162.098</v>
      </c>
      <c r="I265" s="124"/>
      <c r="J265" s="188">
        <f>H265+I265</f>
        <v>10162.098</v>
      </c>
    </row>
    <row r="266" spans="1:10" ht="12.75" hidden="1">
      <c r="A266" s="363"/>
      <c r="B266" s="302" t="s">
        <v>4</v>
      </c>
      <c r="C266" s="273" t="s">
        <v>396</v>
      </c>
      <c r="D266" s="279" t="s">
        <v>2</v>
      </c>
      <c r="E266" s="279" t="s">
        <v>2</v>
      </c>
      <c r="F266" s="280" t="s">
        <v>397</v>
      </c>
      <c r="G266" s="253">
        <f>SUM(G267:G268)</f>
        <v>0</v>
      </c>
      <c r="H266" s="281">
        <f>SUM(H267:H268)</f>
        <v>29.04</v>
      </c>
      <c r="I266" s="253">
        <f>SUM(I267:I268)</f>
        <v>0</v>
      </c>
      <c r="J266" s="253">
        <f>SUM(J267:J268)</f>
        <v>29.04</v>
      </c>
    </row>
    <row r="267" spans="1:10" ht="12.75" hidden="1">
      <c r="A267" s="363"/>
      <c r="B267" s="282"/>
      <c r="C267" s="283"/>
      <c r="D267" s="271">
        <v>2212</v>
      </c>
      <c r="E267" s="306">
        <v>5169</v>
      </c>
      <c r="F267" s="198" t="s">
        <v>32</v>
      </c>
      <c r="G267" s="113">
        <v>0</v>
      </c>
      <c r="H267" s="113">
        <v>4.356</v>
      </c>
      <c r="I267" s="113"/>
      <c r="J267" s="113">
        <f>H267+I267</f>
        <v>4.356</v>
      </c>
    </row>
    <row r="268" spans="1:10" ht="13.5" hidden="1" thickBot="1">
      <c r="A268" s="363"/>
      <c r="B268" s="292"/>
      <c r="C268" s="326" t="s">
        <v>278</v>
      </c>
      <c r="D268" s="271">
        <v>2212</v>
      </c>
      <c r="E268" s="306">
        <v>5169</v>
      </c>
      <c r="F268" s="198" t="s">
        <v>32</v>
      </c>
      <c r="G268" s="236">
        <v>0</v>
      </c>
      <c r="H268" s="124">
        <v>24.684</v>
      </c>
      <c r="I268" s="124"/>
      <c r="J268" s="113">
        <f>H268+I268</f>
        <v>24.684</v>
      </c>
    </row>
    <row r="269" spans="1:10" ht="12.75" hidden="1">
      <c r="A269" s="363"/>
      <c r="B269" s="302" t="s">
        <v>4</v>
      </c>
      <c r="C269" s="273" t="s">
        <v>398</v>
      </c>
      <c r="D269" s="279" t="s">
        <v>2</v>
      </c>
      <c r="E269" s="279" t="s">
        <v>2</v>
      </c>
      <c r="F269" s="280" t="s">
        <v>399</v>
      </c>
      <c r="G269" s="253">
        <f>SUM(G270:G272)</f>
        <v>0</v>
      </c>
      <c r="H269" s="281">
        <f>SUM(H270:H272)</f>
        <v>475.373</v>
      </c>
      <c r="I269" s="253">
        <f>SUM(I270:I272)</f>
        <v>0</v>
      </c>
      <c r="J269" s="253">
        <f>SUM(J270:J272)</f>
        <v>475.373</v>
      </c>
    </row>
    <row r="270" spans="1:10" ht="12.75" hidden="1">
      <c r="A270" s="363"/>
      <c r="B270" s="282"/>
      <c r="C270" s="283"/>
      <c r="D270" s="271">
        <v>2212</v>
      </c>
      <c r="E270" s="306">
        <v>5169</v>
      </c>
      <c r="F270" s="198" t="s">
        <v>32</v>
      </c>
      <c r="G270" s="113">
        <v>0</v>
      </c>
      <c r="H270" s="113">
        <v>4.356</v>
      </c>
      <c r="I270" s="113"/>
      <c r="J270" s="113">
        <f>H270+I270</f>
        <v>4.356</v>
      </c>
    </row>
    <row r="271" spans="1:10" ht="12.75" hidden="1">
      <c r="A271" s="363"/>
      <c r="B271" s="282"/>
      <c r="C271" s="315" t="s">
        <v>278</v>
      </c>
      <c r="D271" s="271">
        <v>2212</v>
      </c>
      <c r="E271" s="306">
        <v>5169</v>
      </c>
      <c r="F271" s="198" t="s">
        <v>32</v>
      </c>
      <c r="G271" s="113">
        <v>0</v>
      </c>
      <c r="H271" s="113">
        <f>24.684+11.798+8.47</f>
        <v>44.952</v>
      </c>
      <c r="I271" s="113"/>
      <c r="J271" s="113">
        <f>H271+I271</f>
        <v>44.952</v>
      </c>
    </row>
    <row r="272" spans="1:10" ht="13.5" hidden="1" thickBot="1">
      <c r="A272" s="363"/>
      <c r="B272" s="282"/>
      <c r="C272" s="283"/>
      <c r="D272" s="271">
        <v>2212</v>
      </c>
      <c r="E272" s="306">
        <v>5171</v>
      </c>
      <c r="F272" s="307" t="s">
        <v>281</v>
      </c>
      <c r="G272" s="113">
        <v>0</v>
      </c>
      <c r="H272" s="124">
        <v>426.065</v>
      </c>
      <c r="I272" s="124"/>
      <c r="J272" s="113">
        <f>H272+I272</f>
        <v>426.065</v>
      </c>
    </row>
    <row r="273" spans="1:10" ht="12.75" hidden="1">
      <c r="A273" s="363"/>
      <c r="B273" s="302" t="s">
        <v>4</v>
      </c>
      <c r="C273" s="273" t="s">
        <v>400</v>
      </c>
      <c r="D273" s="279" t="s">
        <v>2</v>
      </c>
      <c r="E273" s="279" t="s">
        <v>2</v>
      </c>
      <c r="F273" s="280" t="s">
        <v>401</v>
      </c>
      <c r="G273" s="253">
        <f>SUM(G274:G276)</f>
        <v>0</v>
      </c>
      <c r="H273" s="281">
        <f>SUM(H274:H276)</f>
        <v>387.753</v>
      </c>
      <c r="I273" s="253">
        <f>SUM(I274:I276)</f>
        <v>0</v>
      </c>
      <c r="J273" s="253">
        <f>SUM(J274:J276)</f>
        <v>387.753</v>
      </c>
    </row>
    <row r="274" spans="1:10" ht="12.75" hidden="1">
      <c r="A274" s="363"/>
      <c r="B274" s="282"/>
      <c r="C274" s="283"/>
      <c r="D274" s="271">
        <v>2212</v>
      </c>
      <c r="E274" s="306">
        <v>5169</v>
      </c>
      <c r="F274" s="198" t="s">
        <v>32</v>
      </c>
      <c r="G274" s="113">
        <v>0</v>
      </c>
      <c r="H274" s="113">
        <v>4.356</v>
      </c>
      <c r="I274" s="113"/>
      <c r="J274" s="113">
        <f>H274+I274</f>
        <v>4.356</v>
      </c>
    </row>
    <row r="275" spans="1:10" ht="12.75" hidden="1">
      <c r="A275" s="363"/>
      <c r="B275" s="282"/>
      <c r="C275" s="315" t="s">
        <v>278</v>
      </c>
      <c r="D275" s="271">
        <v>2212</v>
      </c>
      <c r="E275" s="306">
        <v>5169</v>
      </c>
      <c r="F275" s="198" t="s">
        <v>32</v>
      </c>
      <c r="G275" s="113">
        <v>0</v>
      </c>
      <c r="H275" s="113">
        <f>24.684+23.595+16.94</f>
        <v>65.219</v>
      </c>
      <c r="I275" s="113"/>
      <c r="J275" s="113">
        <f>H275+I275</f>
        <v>65.219</v>
      </c>
    </row>
    <row r="276" spans="1:10" ht="13.5" hidden="1" thickBot="1">
      <c r="A276" s="363"/>
      <c r="B276" s="310"/>
      <c r="C276" s="311" t="s">
        <v>278</v>
      </c>
      <c r="D276" s="270">
        <v>2212</v>
      </c>
      <c r="E276" s="312">
        <v>5171</v>
      </c>
      <c r="F276" s="313" t="s">
        <v>281</v>
      </c>
      <c r="G276" s="188">
        <v>0</v>
      </c>
      <c r="H276" s="124">
        <v>318.178</v>
      </c>
      <c r="I276" s="124"/>
      <c r="J276" s="188">
        <f>H276+I276</f>
        <v>318.178</v>
      </c>
    </row>
    <row r="277" spans="1:10" ht="12.75" hidden="1">
      <c r="A277" s="363"/>
      <c r="B277" s="302" t="s">
        <v>4</v>
      </c>
      <c r="C277" s="273" t="s">
        <v>402</v>
      </c>
      <c r="D277" s="279" t="s">
        <v>2</v>
      </c>
      <c r="E277" s="279" t="s">
        <v>2</v>
      </c>
      <c r="F277" s="280" t="s">
        <v>403</v>
      </c>
      <c r="G277" s="253">
        <f>SUM(G278:G280)</f>
        <v>0</v>
      </c>
      <c r="H277" s="281">
        <f>SUM(H278:H280)</f>
        <v>1320.8</v>
      </c>
      <c r="I277" s="253">
        <f>SUM(I278:I280)</f>
        <v>0</v>
      </c>
      <c r="J277" s="253">
        <f>SUM(J278:J280)</f>
        <v>1320.8</v>
      </c>
    </row>
    <row r="278" spans="1:10" ht="12.75" hidden="1">
      <c r="A278" s="363"/>
      <c r="B278" s="282"/>
      <c r="C278" s="283"/>
      <c r="D278" s="271">
        <v>2212</v>
      </c>
      <c r="E278" s="306">
        <v>5169</v>
      </c>
      <c r="F278" s="198" t="s">
        <v>32</v>
      </c>
      <c r="G278" s="113">
        <v>0</v>
      </c>
      <c r="H278" s="113">
        <v>4.356</v>
      </c>
      <c r="I278" s="113"/>
      <c r="J278" s="113">
        <f>H278+I278</f>
        <v>4.356</v>
      </c>
    </row>
    <row r="279" spans="1:10" ht="12.75" hidden="1">
      <c r="A279" s="363"/>
      <c r="B279" s="282"/>
      <c r="C279" s="315" t="s">
        <v>278</v>
      </c>
      <c r="D279" s="271">
        <v>2212</v>
      </c>
      <c r="E279" s="306">
        <v>5169</v>
      </c>
      <c r="F279" s="198" t="s">
        <v>32</v>
      </c>
      <c r="G279" s="113">
        <v>0</v>
      </c>
      <c r="H279" s="113">
        <f>24.684+69.696+31.46</f>
        <v>125.84</v>
      </c>
      <c r="I279" s="113"/>
      <c r="J279" s="113">
        <f>H279+I279</f>
        <v>125.84</v>
      </c>
    </row>
    <row r="280" spans="1:10" ht="13.5" hidden="1" thickBot="1">
      <c r="A280" s="363"/>
      <c r="B280" s="310"/>
      <c r="C280" s="311" t="s">
        <v>278</v>
      </c>
      <c r="D280" s="270">
        <v>2212</v>
      </c>
      <c r="E280" s="312">
        <v>5171</v>
      </c>
      <c r="F280" s="313" t="s">
        <v>281</v>
      </c>
      <c r="G280" s="188">
        <v>0</v>
      </c>
      <c r="H280" s="124">
        <v>1190.604</v>
      </c>
      <c r="I280" s="124"/>
      <c r="J280" s="188">
        <f>H280+I280</f>
        <v>1190.604</v>
      </c>
    </row>
    <row r="281" spans="1:10" ht="12.75" hidden="1">
      <c r="A281" s="363"/>
      <c r="B281" s="302" t="s">
        <v>4</v>
      </c>
      <c r="C281" s="273" t="s">
        <v>404</v>
      </c>
      <c r="D281" s="279" t="s">
        <v>2</v>
      </c>
      <c r="E281" s="279" t="s">
        <v>2</v>
      </c>
      <c r="F281" s="280" t="s">
        <v>405</v>
      </c>
      <c r="G281" s="253">
        <f>SUM(G282:G284)</f>
        <v>0</v>
      </c>
      <c r="H281" s="281">
        <f>SUM(H282:H284)</f>
        <v>1546.287</v>
      </c>
      <c r="I281" s="253">
        <f>SUM(I282:I284)</f>
        <v>0</v>
      </c>
      <c r="J281" s="253">
        <f>SUM(J282:J284)</f>
        <v>1546.287</v>
      </c>
    </row>
    <row r="282" spans="1:10" ht="12.75" hidden="1">
      <c r="A282" s="363"/>
      <c r="B282" s="282"/>
      <c r="C282" s="283"/>
      <c r="D282" s="271">
        <v>2212</v>
      </c>
      <c r="E282" s="306">
        <v>5169</v>
      </c>
      <c r="F282" s="198" t="s">
        <v>32</v>
      </c>
      <c r="G282" s="113">
        <v>0</v>
      </c>
      <c r="H282" s="113">
        <v>4.356</v>
      </c>
      <c r="I282" s="113"/>
      <c r="J282" s="113">
        <f>H282+I282</f>
        <v>4.356</v>
      </c>
    </row>
    <row r="283" spans="1:10" ht="12.75" hidden="1">
      <c r="A283" s="363"/>
      <c r="B283" s="282"/>
      <c r="C283" s="315" t="s">
        <v>278</v>
      </c>
      <c r="D283" s="271">
        <v>2212</v>
      </c>
      <c r="E283" s="306">
        <v>5169</v>
      </c>
      <c r="F283" s="198" t="s">
        <v>32</v>
      </c>
      <c r="G283" s="113">
        <v>0</v>
      </c>
      <c r="H283" s="113">
        <f>24.684+19.602+13.915</f>
        <v>58.201</v>
      </c>
      <c r="I283" s="113"/>
      <c r="J283" s="113">
        <f>H283+I283</f>
        <v>58.201</v>
      </c>
    </row>
    <row r="284" spans="1:10" ht="13.5" hidden="1" thickBot="1">
      <c r="A284" s="363"/>
      <c r="B284" s="310"/>
      <c r="C284" s="311" t="s">
        <v>278</v>
      </c>
      <c r="D284" s="270">
        <v>2212</v>
      </c>
      <c r="E284" s="312">
        <v>5171</v>
      </c>
      <c r="F284" s="313" t="s">
        <v>281</v>
      </c>
      <c r="G284" s="188">
        <v>0</v>
      </c>
      <c r="H284" s="124">
        <v>1483.73</v>
      </c>
      <c r="I284" s="124"/>
      <c r="J284" s="188">
        <f>H284+I284</f>
        <v>1483.73</v>
      </c>
    </row>
    <row r="285" spans="1:10" ht="12.75" hidden="1">
      <c r="A285" s="363"/>
      <c r="B285" s="302" t="s">
        <v>4</v>
      </c>
      <c r="C285" s="273" t="s">
        <v>406</v>
      </c>
      <c r="D285" s="279" t="s">
        <v>2</v>
      </c>
      <c r="E285" s="279" t="s">
        <v>2</v>
      </c>
      <c r="F285" s="280" t="s">
        <v>407</v>
      </c>
      <c r="G285" s="253">
        <f>SUM(G286:G288)</f>
        <v>0</v>
      </c>
      <c r="H285" s="281">
        <f>SUM(H286:H288)</f>
        <v>586.077</v>
      </c>
      <c r="I285" s="253">
        <f>SUM(I286:I288)</f>
        <v>0</v>
      </c>
      <c r="J285" s="253">
        <f>SUM(J286:J288)</f>
        <v>586.077</v>
      </c>
    </row>
    <row r="286" spans="1:10" ht="12.75" hidden="1">
      <c r="A286" s="363"/>
      <c r="B286" s="282"/>
      <c r="C286" s="283"/>
      <c r="D286" s="271">
        <v>2212</v>
      </c>
      <c r="E286" s="306">
        <v>5169</v>
      </c>
      <c r="F286" s="198" t="s">
        <v>32</v>
      </c>
      <c r="G286" s="113">
        <v>0</v>
      </c>
      <c r="H286" s="113">
        <v>4.356</v>
      </c>
      <c r="I286" s="113"/>
      <c r="J286" s="113">
        <f>H286+I286</f>
        <v>4.356</v>
      </c>
    </row>
    <row r="287" spans="1:10" ht="12.75" hidden="1">
      <c r="A287" s="363"/>
      <c r="B287" s="282"/>
      <c r="C287" s="315" t="s">
        <v>278</v>
      </c>
      <c r="D287" s="271">
        <v>2212</v>
      </c>
      <c r="E287" s="306">
        <v>5169</v>
      </c>
      <c r="F287" s="198" t="s">
        <v>32</v>
      </c>
      <c r="G287" s="113">
        <v>0</v>
      </c>
      <c r="H287" s="113">
        <f>24.684+19.602+13.915</f>
        <v>58.201</v>
      </c>
      <c r="I287" s="113"/>
      <c r="J287" s="113">
        <f>H287+I287</f>
        <v>58.201</v>
      </c>
    </row>
    <row r="288" spans="1:10" ht="13.5" hidden="1" thickBot="1">
      <c r="A288" s="363"/>
      <c r="B288" s="310"/>
      <c r="C288" s="311" t="s">
        <v>278</v>
      </c>
      <c r="D288" s="270">
        <v>2212</v>
      </c>
      <c r="E288" s="312">
        <v>5171</v>
      </c>
      <c r="F288" s="313" t="s">
        <v>281</v>
      </c>
      <c r="G288" s="188">
        <v>0</v>
      </c>
      <c r="H288" s="316">
        <v>523.52</v>
      </c>
      <c r="I288" s="124"/>
      <c r="J288" s="188">
        <f>H288+I288</f>
        <v>523.52</v>
      </c>
    </row>
    <row r="289" spans="1:10" ht="12.75" hidden="1">
      <c r="A289" s="363"/>
      <c r="B289" s="302" t="s">
        <v>4</v>
      </c>
      <c r="C289" s="273" t="s">
        <v>408</v>
      </c>
      <c r="D289" s="279" t="s">
        <v>2</v>
      </c>
      <c r="E289" s="279" t="s">
        <v>2</v>
      </c>
      <c r="F289" s="280" t="s">
        <v>409</v>
      </c>
      <c r="G289" s="253">
        <f>SUM(G290:G292)</f>
        <v>0</v>
      </c>
      <c r="H289" s="281">
        <f>SUM(H290:H292)</f>
        <v>2633.1</v>
      </c>
      <c r="I289" s="253">
        <f>SUM(I290:I292)</f>
        <v>0</v>
      </c>
      <c r="J289" s="253">
        <f>SUM(J290:J292)</f>
        <v>2633.1</v>
      </c>
    </row>
    <row r="290" spans="1:10" ht="12.75" hidden="1">
      <c r="A290" s="363"/>
      <c r="B290" s="282"/>
      <c r="C290" s="283"/>
      <c r="D290" s="271">
        <v>2212</v>
      </c>
      <c r="E290" s="306">
        <v>5169</v>
      </c>
      <c r="F290" s="198" t="s">
        <v>32</v>
      </c>
      <c r="G290" s="113">
        <v>0</v>
      </c>
      <c r="H290" s="113">
        <v>4.356</v>
      </c>
      <c r="I290" s="113"/>
      <c r="J290" s="113">
        <f>H290+I290</f>
        <v>4.356</v>
      </c>
    </row>
    <row r="291" spans="1:10" ht="12.75" hidden="1">
      <c r="A291" s="363"/>
      <c r="B291" s="282"/>
      <c r="C291" s="315" t="s">
        <v>278</v>
      </c>
      <c r="D291" s="271">
        <v>2212</v>
      </c>
      <c r="E291" s="306">
        <v>5169</v>
      </c>
      <c r="F291" s="198" t="s">
        <v>32</v>
      </c>
      <c r="G291" s="113">
        <v>0</v>
      </c>
      <c r="H291" s="113">
        <f>24.684+47.722+42.35</f>
        <v>114.756</v>
      </c>
      <c r="I291" s="113"/>
      <c r="J291" s="113">
        <f>H291+I291</f>
        <v>114.756</v>
      </c>
    </row>
    <row r="292" spans="1:10" ht="13.5" hidden="1" thickBot="1">
      <c r="A292" s="363"/>
      <c r="B292" s="310"/>
      <c r="C292" s="287"/>
      <c r="D292" s="270">
        <v>2212</v>
      </c>
      <c r="E292" s="312">
        <v>5171</v>
      </c>
      <c r="F292" s="313" t="s">
        <v>281</v>
      </c>
      <c r="G292" s="188">
        <v>0</v>
      </c>
      <c r="H292" s="124">
        <v>2513.988</v>
      </c>
      <c r="I292" s="113"/>
      <c r="J292" s="188">
        <f>H292+I292</f>
        <v>2513.988</v>
      </c>
    </row>
    <row r="293" spans="1:10" ht="12.75" hidden="1">
      <c r="A293" s="363"/>
      <c r="B293" s="302" t="s">
        <v>4</v>
      </c>
      <c r="C293" s="273" t="s">
        <v>410</v>
      </c>
      <c r="D293" s="279" t="s">
        <v>2</v>
      </c>
      <c r="E293" s="279" t="s">
        <v>2</v>
      </c>
      <c r="F293" s="280" t="s">
        <v>411</v>
      </c>
      <c r="G293" s="253">
        <f>SUM(G294:G295)</f>
        <v>0</v>
      </c>
      <c r="H293" s="281">
        <f>SUM(H294:H295)</f>
        <v>29.04</v>
      </c>
      <c r="I293" s="253">
        <f>SUM(I294:I295)</f>
        <v>0</v>
      </c>
      <c r="J293" s="253">
        <f>SUM(J294:J295)</f>
        <v>29.04</v>
      </c>
    </row>
    <row r="294" spans="1:10" ht="12.75" hidden="1">
      <c r="A294" s="363"/>
      <c r="B294" s="282"/>
      <c r="C294" s="283"/>
      <c r="D294" s="271">
        <v>2212</v>
      </c>
      <c r="E294" s="306">
        <v>5169</v>
      </c>
      <c r="F294" s="198" t="s">
        <v>32</v>
      </c>
      <c r="G294" s="113">
        <v>0</v>
      </c>
      <c r="H294" s="113">
        <v>4.356</v>
      </c>
      <c r="I294" s="113"/>
      <c r="J294" s="113">
        <f>H294+I294</f>
        <v>4.356</v>
      </c>
    </row>
    <row r="295" spans="1:10" ht="13.5" hidden="1" thickBot="1">
      <c r="A295" s="363"/>
      <c r="B295" s="292"/>
      <c r="C295" s="326" t="s">
        <v>278</v>
      </c>
      <c r="D295" s="271">
        <v>2212</v>
      </c>
      <c r="E295" s="306">
        <v>5169</v>
      </c>
      <c r="F295" s="198" t="s">
        <v>32</v>
      </c>
      <c r="G295" s="236">
        <v>0</v>
      </c>
      <c r="H295" s="124">
        <v>24.684</v>
      </c>
      <c r="I295" s="124"/>
      <c r="J295" s="113">
        <f>H295+I295</f>
        <v>24.684</v>
      </c>
    </row>
    <row r="296" spans="1:10" ht="12.75" hidden="1">
      <c r="A296" s="363"/>
      <c r="B296" s="302" t="s">
        <v>4</v>
      </c>
      <c r="C296" s="273" t="s">
        <v>412</v>
      </c>
      <c r="D296" s="279" t="s">
        <v>2</v>
      </c>
      <c r="E296" s="279" t="s">
        <v>2</v>
      </c>
      <c r="F296" s="280" t="s">
        <v>413</v>
      </c>
      <c r="G296" s="253">
        <f>SUM(G297:G299)</f>
        <v>0</v>
      </c>
      <c r="H296" s="281">
        <f>SUM(H297:H299)</f>
        <v>743.0550000000001</v>
      </c>
      <c r="I296" s="253">
        <f>SUM(I297:I299)</f>
        <v>0</v>
      </c>
      <c r="J296" s="253">
        <f>SUM(J297:J299)</f>
        <v>743.0550000000001</v>
      </c>
    </row>
    <row r="297" spans="1:10" ht="12.75" hidden="1">
      <c r="A297" s="363"/>
      <c r="B297" s="282"/>
      <c r="C297" s="283"/>
      <c r="D297" s="271">
        <v>2212</v>
      </c>
      <c r="E297" s="306">
        <v>5169</v>
      </c>
      <c r="F297" s="198" t="s">
        <v>32</v>
      </c>
      <c r="G297" s="113">
        <v>0</v>
      </c>
      <c r="H297" s="113">
        <v>4.356</v>
      </c>
      <c r="I297" s="113"/>
      <c r="J297" s="113">
        <f>H297+I297</f>
        <v>4.356</v>
      </c>
    </row>
    <row r="298" spans="1:10" ht="12.75" hidden="1">
      <c r="A298" s="363"/>
      <c r="B298" s="282"/>
      <c r="C298" s="332" t="s">
        <v>278</v>
      </c>
      <c r="D298" s="271">
        <v>2212</v>
      </c>
      <c r="E298" s="306">
        <v>5169</v>
      </c>
      <c r="F298" s="198" t="s">
        <v>32</v>
      </c>
      <c r="G298" s="101">
        <v>0</v>
      </c>
      <c r="H298" s="113">
        <f>24.684+23.595+16.94</f>
        <v>65.219</v>
      </c>
      <c r="I298" s="113"/>
      <c r="J298" s="113">
        <f>H298+I298</f>
        <v>65.219</v>
      </c>
    </row>
    <row r="299" spans="1:10" ht="13.5" hidden="1" thickBot="1">
      <c r="A299" s="363"/>
      <c r="B299" s="310"/>
      <c r="C299" s="311" t="s">
        <v>278</v>
      </c>
      <c r="D299" s="270">
        <v>2212</v>
      </c>
      <c r="E299" s="312">
        <v>5171</v>
      </c>
      <c r="F299" s="313" t="s">
        <v>281</v>
      </c>
      <c r="G299" s="188">
        <v>0</v>
      </c>
      <c r="H299" s="233">
        <v>673.48</v>
      </c>
      <c r="I299" s="124"/>
      <c r="J299" s="188">
        <f>H299+I299</f>
        <v>673.48</v>
      </c>
    </row>
    <row r="300" spans="1:10" ht="12.75" hidden="1">
      <c r="A300" s="363"/>
      <c r="B300" s="302" t="s">
        <v>4</v>
      </c>
      <c r="C300" s="273" t="s">
        <v>414</v>
      </c>
      <c r="D300" s="279" t="s">
        <v>2</v>
      </c>
      <c r="E300" s="279" t="s">
        <v>2</v>
      </c>
      <c r="F300" s="280" t="s">
        <v>415</v>
      </c>
      <c r="G300" s="253">
        <f>SUM(G301:G302)</f>
        <v>0</v>
      </c>
      <c r="H300" s="281">
        <f>SUM(H301:H302)</f>
        <v>29.04</v>
      </c>
      <c r="I300" s="253">
        <f>SUM(I301:I302)</f>
        <v>0</v>
      </c>
      <c r="J300" s="253">
        <f>SUM(J301:J302)</f>
        <v>29.04</v>
      </c>
    </row>
    <row r="301" spans="1:10" ht="12.75" hidden="1">
      <c r="A301" s="363"/>
      <c r="B301" s="282"/>
      <c r="C301" s="283"/>
      <c r="D301" s="271">
        <v>2212</v>
      </c>
      <c r="E301" s="306">
        <v>5169</v>
      </c>
      <c r="F301" s="198" t="s">
        <v>32</v>
      </c>
      <c r="G301" s="113">
        <v>0</v>
      </c>
      <c r="H301" s="113">
        <v>4.356</v>
      </c>
      <c r="I301" s="113"/>
      <c r="J301" s="113">
        <f>H301+I301</f>
        <v>4.356</v>
      </c>
    </row>
    <row r="302" spans="1:10" ht="13.5" hidden="1" thickBot="1">
      <c r="A302" s="363"/>
      <c r="B302" s="292"/>
      <c r="C302" s="326" t="s">
        <v>278</v>
      </c>
      <c r="D302" s="271">
        <v>2212</v>
      </c>
      <c r="E302" s="306">
        <v>5169</v>
      </c>
      <c r="F302" s="198" t="s">
        <v>32</v>
      </c>
      <c r="G302" s="236">
        <v>0</v>
      </c>
      <c r="H302" s="124">
        <v>24.684</v>
      </c>
      <c r="I302" s="124"/>
      <c r="J302" s="113">
        <f>H302+I302</f>
        <v>24.684</v>
      </c>
    </row>
    <row r="303" spans="1:10" ht="12.75" hidden="1">
      <c r="A303" s="363"/>
      <c r="B303" s="302" t="s">
        <v>4</v>
      </c>
      <c r="C303" s="273" t="s">
        <v>416</v>
      </c>
      <c r="D303" s="279" t="s">
        <v>2</v>
      </c>
      <c r="E303" s="279" t="s">
        <v>2</v>
      </c>
      <c r="F303" s="280" t="s">
        <v>417</v>
      </c>
      <c r="G303" s="253">
        <f>SUM(G304:G305)</f>
        <v>0</v>
      </c>
      <c r="H303" s="281">
        <f>SUM(H304:H305)</f>
        <v>29.04</v>
      </c>
      <c r="I303" s="253">
        <f>SUM(I304:I305)</f>
        <v>0</v>
      </c>
      <c r="J303" s="253">
        <f>SUM(J304:J305)</f>
        <v>29.04</v>
      </c>
    </row>
    <row r="304" spans="1:10" ht="12.75" hidden="1">
      <c r="A304" s="363"/>
      <c r="B304" s="282"/>
      <c r="C304" s="283"/>
      <c r="D304" s="271">
        <v>2212</v>
      </c>
      <c r="E304" s="306">
        <v>5169</v>
      </c>
      <c r="F304" s="198" t="s">
        <v>32</v>
      </c>
      <c r="G304" s="113">
        <v>0</v>
      </c>
      <c r="H304" s="113">
        <v>4.356</v>
      </c>
      <c r="I304" s="113"/>
      <c r="J304" s="113">
        <f>H304+I304</f>
        <v>4.356</v>
      </c>
    </row>
    <row r="305" spans="1:10" ht="13.5" hidden="1" thickBot="1">
      <c r="A305" s="363"/>
      <c r="B305" s="292"/>
      <c r="C305" s="326" t="s">
        <v>278</v>
      </c>
      <c r="D305" s="271">
        <v>2212</v>
      </c>
      <c r="E305" s="306">
        <v>5169</v>
      </c>
      <c r="F305" s="198" t="s">
        <v>32</v>
      </c>
      <c r="G305" s="236">
        <v>0</v>
      </c>
      <c r="H305" s="124">
        <v>24.684</v>
      </c>
      <c r="I305" s="113"/>
      <c r="J305" s="113">
        <f>H305+I305</f>
        <v>24.684</v>
      </c>
    </row>
    <row r="306" spans="1:10" ht="12.75" hidden="1">
      <c r="A306" s="363"/>
      <c r="B306" s="302" t="s">
        <v>4</v>
      </c>
      <c r="C306" s="273" t="s">
        <v>418</v>
      </c>
      <c r="D306" s="279" t="s">
        <v>2</v>
      </c>
      <c r="E306" s="279" t="s">
        <v>2</v>
      </c>
      <c r="F306" s="280" t="s">
        <v>419</v>
      </c>
      <c r="G306" s="253">
        <f>SUM(G307:G308)</f>
        <v>0</v>
      </c>
      <c r="H306" s="281">
        <f>SUM(H307:H308)</f>
        <v>29.04</v>
      </c>
      <c r="I306" s="253">
        <f>SUM(I307:I308)</f>
        <v>0</v>
      </c>
      <c r="J306" s="253">
        <f>SUM(J307:J308)</f>
        <v>29.04</v>
      </c>
    </row>
    <row r="307" spans="1:10" ht="12.75" hidden="1">
      <c r="A307" s="363"/>
      <c r="B307" s="282"/>
      <c r="C307" s="283"/>
      <c r="D307" s="271">
        <v>2212</v>
      </c>
      <c r="E307" s="306">
        <v>5169</v>
      </c>
      <c r="F307" s="198" t="s">
        <v>32</v>
      </c>
      <c r="G307" s="113">
        <v>0</v>
      </c>
      <c r="H307" s="113">
        <v>4.356</v>
      </c>
      <c r="I307" s="113"/>
      <c r="J307" s="113">
        <f>H307+I307</f>
        <v>4.356</v>
      </c>
    </row>
    <row r="308" spans="1:10" ht="13.5" hidden="1" thickBot="1">
      <c r="A308" s="363"/>
      <c r="B308" s="292"/>
      <c r="C308" s="326" t="s">
        <v>278</v>
      </c>
      <c r="D308" s="271">
        <v>2212</v>
      </c>
      <c r="E308" s="306">
        <v>5169</v>
      </c>
      <c r="F308" s="198" t="s">
        <v>32</v>
      </c>
      <c r="G308" s="236">
        <v>0</v>
      </c>
      <c r="H308" s="124">
        <v>24.684</v>
      </c>
      <c r="I308" s="113"/>
      <c r="J308" s="113">
        <f>H308+I308</f>
        <v>24.684</v>
      </c>
    </row>
    <row r="309" spans="1:10" ht="12.75" hidden="1">
      <c r="A309" s="363"/>
      <c r="B309" s="302" t="s">
        <v>4</v>
      </c>
      <c r="C309" s="273" t="s">
        <v>420</v>
      </c>
      <c r="D309" s="279" t="s">
        <v>2</v>
      </c>
      <c r="E309" s="279" t="s">
        <v>2</v>
      </c>
      <c r="F309" s="280" t="s">
        <v>421</v>
      </c>
      <c r="G309" s="253">
        <f>SUM(G310:G312)</f>
        <v>0</v>
      </c>
      <c r="H309" s="281">
        <f>SUM(H310:H312)</f>
        <v>916.0169999999999</v>
      </c>
      <c r="I309" s="253">
        <f>SUM(I310:I312)</f>
        <v>0</v>
      </c>
      <c r="J309" s="253">
        <f>SUM(J310:J312)</f>
        <v>916.0169999999999</v>
      </c>
    </row>
    <row r="310" spans="1:10" ht="12.75" hidden="1">
      <c r="A310" s="363"/>
      <c r="B310" s="282"/>
      <c r="C310" s="283"/>
      <c r="D310" s="271">
        <v>2212</v>
      </c>
      <c r="E310" s="306">
        <v>5169</v>
      </c>
      <c r="F310" s="198" t="s">
        <v>32</v>
      </c>
      <c r="G310" s="113">
        <v>0</v>
      </c>
      <c r="H310" s="113">
        <v>4.356</v>
      </c>
      <c r="I310" s="113"/>
      <c r="J310" s="113">
        <f>H310+I310</f>
        <v>4.356</v>
      </c>
    </row>
    <row r="311" spans="1:10" ht="12.75" hidden="1">
      <c r="A311" s="363"/>
      <c r="B311" s="282"/>
      <c r="C311" s="315" t="s">
        <v>278</v>
      </c>
      <c r="D311" s="271">
        <v>2212</v>
      </c>
      <c r="E311" s="306">
        <v>5169</v>
      </c>
      <c r="F311" s="198" t="s">
        <v>32</v>
      </c>
      <c r="G311" s="113">
        <v>0</v>
      </c>
      <c r="H311" s="113">
        <f>24.684+31.992+37.268</f>
        <v>93.944</v>
      </c>
      <c r="I311" s="113"/>
      <c r="J311" s="113">
        <f>H311+I311</f>
        <v>93.944</v>
      </c>
    </row>
    <row r="312" spans="1:10" ht="13.5" hidden="1" thickBot="1">
      <c r="A312" s="363"/>
      <c r="B312" s="323"/>
      <c r="C312" s="331"/>
      <c r="D312" s="261">
        <v>2212</v>
      </c>
      <c r="E312" s="325">
        <v>5171</v>
      </c>
      <c r="F312" s="275" t="s">
        <v>281</v>
      </c>
      <c r="G312" s="124">
        <v>0</v>
      </c>
      <c r="H312" s="124">
        <v>817.717</v>
      </c>
      <c r="I312" s="124"/>
      <c r="J312" s="124">
        <f>H312+I312</f>
        <v>817.717</v>
      </c>
    </row>
    <row r="313" spans="1:10" ht="12.75" hidden="1">
      <c r="A313" s="363"/>
      <c r="B313" s="302" t="s">
        <v>4</v>
      </c>
      <c r="C313" s="273" t="s">
        <v>422</v>
      </c>
      <c r="D313" s="279" t="s">
        <v>2</v>
      </c>
      <c r="E313" s="279" t="s">
        <v>2</v>
      </c>
      <c r="F313" s="280" t="s">
        <v>423</v>
      </c>
      <c r="G313" s="253">
        <f>SUM(G314:G316)</f>
        <v>0</v>
      </c>
      <c r="H313" s="281">
        <f>SUM(H314:H316)</f>
        <v>2032.162</v>
      </c>
      <c r="I313" s="253">
        <f>SUM(I314:I316)</f>
        <v>0</v>
      </c>
      <c r="J313" s="253">
        <f>SUM(J314:J316)</f>
        <v>2032.162</v>
      </c>
    </row>
    <row r="314" spans="1:10" ht="12.75" hidden="1">
      <c r="A314" s="363"/>
      <c r="B314" s="282"/>
      <c r="C314" s="283"/>
      <c r="D314" s="271">
        <v>2212</v>
      </c>
      <c r="E314" s="306">
        <v>5169</v>
      </c>
      <c r="F314" s="198" t="s">
        <v>32</v>
      </c>
      <c r="G314" s="113">
        <v>0</v>
      </c>
      <c r="H314" s="113">
        <v>4.356</v>
      </c>
      <c r="I314" s="113"/>
      <c r="J314" s="113">
        <f>H314+I314</f>
        <v>4.356</v>
      </c>
    </row>
    <row r="315" spans="1:10" ht="12.75" hidden="1">
      <c r="A315" s="363"/>
      <c r="B315" s="282"/>
      <c r="C315" s="315" t="s">
        <v>278</v>
      </c>
      <c r="D315" s="271">
        <v>2212</v>
      </c>
      <c r="E315" s="306">
        <v>5169</v>
      </c>
      <c r="F315" s="198" t="s">
        <v>32</v>
      </c>
      <c r="G315" s="113">
        <v>0</v>
      </c>
      <c r="H315" s="113">
        <f>24.684+14.822+9.377</f>
        <v>48.883</v>
      </c>
      <c r="I315" s="113"/>
      <c r="J315" s="113">
        <f>H315+I315</f>
        <v>48.883</v>
      </c>
    </row>
    <row r="316" spans="1:10" ht="13.5" hidden="1" thickBot="1">
      <c r="A316" s="363"/>
      <c r="B316" s="310"/>
      <c r="C316" s="311" t="s">
        <v>278</v>
      </c>
      <c r="D316" s="270">
        <v>2212</v>
      </c>
      <c r="E316" s="312">
        <v>5171</v>
      </c>
      <c r="F316" s="313" t="s">
        <v>281</v>
      </c>
      <c r="G316" s="188">
        <v>0</v>
      </c>
      <c r="H316" s="124">
        <f>3957.846/2</f>
        <v>1978.923</v>
      </c>
      <c r="I316" s="124"/>
      <c r="J316" s="188">
        <f>H316+I316</f>
        <v>1978.923</v>
      </c>
    </row>
    <row r="317" spans="1:10" ht="12.75" hidden="1">
      <c r="A317" s="363"/>
      <c r="B317" s="302" t="s">
        <v>4</v>
      </c>
      <c r="C317" s="273" t="s">
        <v>424</v>
      </c>
      <c r="D317" s="279" t="s">
        <v>2</v>
      </c>
      <c r="E317" s="279" t="s">
        <v>2</v>
      </c>
      <c r="F317" s="280" t="s">
        <v>425</v>
      </c>
      <c r="G317" s="253">
        <f>SUM(G318:G320)</f>
        <v>0</v>
      </c>
      <c r="H317" s="281">
        <f>SUM(H318:H320)</f>
        <v>1131.274</v>
      </c>
      <c r="I317" s="253">
        <f>SUM(I318:I320)</f>
        <v>0</v>
      </c>
      <c r="J317" s="253">
        <f>SUM(J318:J320)</f>
        <v>1131.274</v>
      </c>
    </row>
    <row r="318" spans="1:10" ht="12.75" hidden="1">
      <c r="A318" s="363"/>
      <c r="B318" s="282"/>
      <c r="C318" s="283"/>
      <c r="D318" s="271">
        <v>2212</v>
      </c>
      <c r="E318" s="306">
        <v>5169</v>
      </c>
      <c r="F318" s="198" t="s">
        <v>32</v>
      </c>
      <c r="G318" s="113">
        <v>0</v>
      </c>
      <c r="H318" s="113">
        <v>4.356</v>
      </c>
      <c r="I318" s="113"/>
      <c r="J318" s="113">
        <f>H318+I318</f>
        <v>4.356</v>
      </c>
    </row>
    <row r="319" spans="1:10" ht="12.75" hidden="1">
      <c r="A319" s="363"/>
      <c r="B319" s="282"/>
      <c r="C319" s="315" t="s">
        <v>278</v>
      </c>
      <c r="D319" s="271">
        <v>2212</v>
      </c>
      <c r="E319" s="306">
        <v>5169</v>
      </c>
      <c r="F319" s="198" t="s">
        <v>32</v>
      </c>
      <c r="G319" s="113">
        <v>0</v>
      </c>
      <c r="H319" s="113">
        <v>24.684</v>
      </c>
      <c r="I319" s="113"/>
      <c r="J319" s="113">
        <f>H319+I319</f>
        <v>24.684</v>
      </c>
    </row>
    <row r="320" spans="1:10" ht="13.5" hidden="1" thickBot="1">
      <c r="A320" s="363"/>
      <c r="B320" s="310"/>
      <c r="C320" s="311" t="s">
        <v>278</v>
      </c>
      <c r="D320" s="270">
        <v>2212</v>
      </c>
      <c r="E320" s="312">
        <v>5171</v>
      </c>
      <c r="F320" s="313" t="s">
        <v>281</v>
      </c>
      <c r="G320" s="188">
        <v>0</v>
      </c>
      <c r="H320" s="124">
        <v>1102.234</v>
      </c>
      <c r="I320" s="113"/>
      <c r="J320" s="188">
        <f>H320+I320</f>
        <v>1102.234</v>
      </c>
    </row>
    <row r="321" spans="1:10" ht="12.75" hidden="1">
      <c r="A321" s="363"/>
      <c r="B321" s="302" t="s">
        <v>4</v>
      </c>
      <c r="C321" s="273" t="s">
        <v>426</v>
      </c>
      <c r="D321" s="279" t="s">
        <v>2</v>
      </c>
      <c r="E321" s="279" t="s">
        <v>2</v>
      </c>
      <c r="F321" s="280" t="s">
        <v>427</v>
      </c>
      <c r="G321" s="253">
        <f>SUM(G322:G324)</f>
        <v>0</v>
      </c>
      <c r="H321" s="281">
        <f>SUM(H322:H324)</f>
        <v>1313.8519999999999</v>
      </c>
      <c r="I321" s="253">
        <f>SUM(I322:I324)</f>
        <v>0</v>
      </c>
      <c r="J321" s="253">
        <f>SUM(J322:J324)</f>
        <v>1313.8519999999999</v>
      </c>
    </row>
    <row r="322" spans="1:10" ht="12.75" hidden="1">
      <c r="A322" s="363"/>
      <c r="B322" s="282"/>
      <c r="C322" s="283"/>
      <c r="D322" s="271">
        <v>2212</v>
      </c>
      <c r="E322" s="306">
        <v>5169</v>
      </c>
      <c r="F322" s="198" t="s">
        <v>32</v>
      </c>
      <c r="G322" s="113">
        <v>0</v>
      </c>
      <c r="H322" s="113">
        <v>4.356</v>
      </c>
      <c r="I322" s="113"/>
      <c r="J322" s="113">
        <f>H322+I322</f>
        <v>4.356</v>
      </c>
    </row>
    <row r="323" spans="1:10" ht="12.75" hidden="1">
      <c r="A323" s="363"/>
      <c r="B323" s="282"/>
      <c r="C323" s="315" t="s">
        <v>278</v>
      </c>
      <c r="D323" s="271">
        <v>2212</v>
      </c>
      <c r="E323" s="306">
        <v>5169</v>
      </c>
      <c r="F323" s="198" t="s">
        <v>32</v>
      </c>
      <c r="G323" s="113">
        <v>0</v>
      </c>
      <c r="H323" s="113">
        <v>24.684</v>
      </c>
      <c r="I323" s="113"/>
      <c r="J323" s="113">
        <f>H323+I323</f>
        <v>24.684</v>
      </c>
    </row>
    <row r="324" spans="1:10" ht="13.5" hidden="1" thickBot="1">
      <c r="A324" s="363"/>
      <c r="B324" s="310"/>
      <c r="C324" s="311" t="s">
        <v>278</v>
      </c>
      <c r="D324" s="270">
        <v>2212</v>
      </c>
      <c r="E324" s="312">
        <v>5171</v>
      </c>
      <c r="F324" s="313" t="s">
        <v>281</v>
      </c>
      <c r="G324" s="188">
        <v>0</v>
      </c>
      <c r="H324" s="124">
        <v>1284.812</v>
      </c>
      <c r="I324" s="113"/>
      <c r="J324" s="188">
        <f>H324+I324</f>
        <v>1284.812</v>
      </c>
    </row>
    <row r="325" spans="1:10" ht="12.75" hidden="1">
      <c r="A325" s="363"/>
      <c r="B325" s="302" t="s">
        <v>4</v>
      </c>
      <c r="C325" s="273" t="s">
        <v>428</v>
      </c>
      <c r="D325" s="279" t="s">
        <v>2</v>
      </c>
      <c r="E325" s="279" t="s">
        <v>2</v>
      </c>
      <c r="F325" s="280" t="s">
        <v>429</v>
      </c>
      <c r="G325" s="253">
        <f>SUM(G326:G328)</f>
        <v>0</v>
      </c>
      <c r="H325" s="281">
        <f>SUM(H326:H328)</f>
        <v>2032.162</v>
      </c>
      <c r="I325" s="253">
        <f>SUM(I326:I328)</f>
        <v>0</v>
      </c>
      <c r="J325" s="253">
        <f>SUM(J326:J328)</f>
        <v>2032.162</v>
      </c>
    </row>
    <row r="326" spans="1:10" ht="12.75" hidden="1">
      <c r="A326" s="363"/>
      <c r="B326" s="282"/>
      <c r="C326" s="283"/>
      <c r="D326" s="271">
        <v>2212</v>
      </c>
      <c r="E326" s="306">
        <v>5169</v>
      </c>
      <c r="F326" s="198" t="s">
        <v>32</v>
      </c>
      <c r="G326" s="113">
        <v>0</v>
      </c>
      <c r="H326" s="113">
        <v>4.356</v>
      </c>
      <c r="I326" s="113"/>
      <c r="J326" s="113">
        <f>H326+I326</f>
        <v>4.356</v>
      </c>
    </row>
    <row r="327" spans="1:10" ht="12.75" hidden="1">
      <c r="A327" s="363"/>
      <c r="B327" s="282"/>
      <c r="C327" s="315" t="s">
        <v>278</v>
      </c>
      <c r="D327" s="271">
        <v>2212</v>
      </c>
      <c r="E327" s="306">
        <v>5169</v>
      </c>
      <c r="F327" s="198" t="s">
        <v>32</v>
      </c>
      <c r="G327" s="113">
        <v>0</v>
      </c>
      <c r="H327" s="113">
        <f>24.684+14.822+9.377</f>
        <v>48.883</v>
      </c>
      <c r="I327" s="113"/>
      <c r="J327" s="113">
        <f>H327+I327</f>
        <v>48.883</v>
      </c>
    </row>
    <row r="328" spans="1:10" ht="13.5" hidden="1" thickBot="1">
      <c r="A328" s="363"/>
      <c r="B328" s="310"/>
      <c r="C328" s="311" t="s">
        <v>278</v>
      </c>
      <c r="D328" s="270">
        <v>2212</v>
      </c>
      <c r="E328" s="312">
        <v>5171</v>
      </c>
      <c r="F328" s="313" t="s">
        <v>281</v>
      </c>
      <c r="G328" s="188">
        <v>0</v>
      </c>
      <c r="H328" s="124">
        <f>3957.846/2</f>
        <v>1978.923</v>
      </c>
      <c r="I328" s="124"/>
      <c r="J328" s="188">
        <f>H328+I328</f>
        <v>1978.923</v>
      </c>
    </row>
    <row r="329" spans="1:10" ht="12.75" hidden="1">
      <c r="A329" s="363"/>
      <c r="B329" s="302" t="s">
        <v>4</v>
      </c>
      <c r="C329" s="273" t="s">
        <v>430</v>
      </c>
      <c r="D329" s="279" t="s">
        <v>2</v>
      </c>
      <c r="E329" s="279" t="s">
        <v>2</v>
      </c>
      <c r="F329" s="280" t="s">
        <v>431</v>
      </c>
      <c r="G329" s="253">
        <f>SUM(G330:G332)</f>
        <v>0</v>
      </c>
      <c r="H329" s="281">
        <f>SUM(H330:H332)</f>
        <v>2685.0570000000002</v>
      </c>
      <c r="I329" s="253">
        <f>SUM(I330:I332)</f>
        <v>0</v>
      </c>
      <c r="J329" s="253">
        <f>SUM(J330:J332)</f>
        <v>2685.0570000000002</v>
      </c>
    </row>
    <row r="330" spans="1:10" ht="12.75" hidden="1">
      <c r="A330" s="363"/>
      <c r="B330" s="282"/>
      <c r="C330" s="283"/>
      <c r="D330" s="271">
        <v>2212</v>
      </c>
      <c r="E330" s="306">
        <v>5169</v>
      </c>
      <c r="F330" s="198" t="s">
        <v>32</v>
      </c>
      <c r="G330" s="113">
        <v>0</v>
      </c>
      <c r="H330" s="113">
        <v>4.356</v>
      </c>
      <c r="I330" s="113"/>
      <c r="J330" s="113">
        <f>H330+I330</f>
        <v>4.356</v>
      </c>
    </row>
    <row r="331" spans="1:10" ht="12.75" hidden="1">
      <c r="A331" s="363"/>
      <c r="B331" s="282"/>
      <c r="C331" s="315" t="s">
        <v>278</v>
      </c>
      <c r="D331" s="271">
        <v>2212</v>
      </c>
      <c r="E331" s="306">
        <v>5169</v>
      </c>
      <c r="F331" s="198" t="s">
        <v>32</v>
      </c>
      <c r="G331" s="113">
        <v>0</v>
      </c>
      <c r="H331" s="113">
        <f>24.684+53.845+35.332</f>
        <v>113.86099999999999</v>
      </c>
      <c r="I331" s="113"/>
      <c r="J331" s="113">
        <f>H331+I331</f>
        <v>113.86099999999999</v>
      </c>
    </row>
    <row r="332" spans="1:10" ht="13.5" hidden="1" thickBot="1">
      <c r="A332" s="363"/>
      <c r="B332" s="310"/>
      <c r="C332" s="311" t="s">
        <v>278</v>
      </c>
      <c r="D332" s="270">
        <v>2212</v>
      </c>
      <c r="E332" s="312">
        <v>5171</v>
      </c>
      <c r="F332" s="313" t="s">
        <v>281</v>
      </c>
      <c r="G332" s="188">
        <v>0</v>
      </c>
      <c r="H332" s="316">
        <v>2566.84</v>
      </c>
      <c r="I332" s="124"/>
      <c r="J332" s="188">
        <f>H332+I332</f>
        <v>2566.84</v>
      </c>
    </row>
    <row r="333" spans="1:10" ht="12.75" hidden="1">
      <c r="A333" s="363"/>
      <c r="B333" s="302" t="s">
        <v>4</v>
      </c>
      <c r="C333" s="273" t="s">
        <v>432</v>
      </c>
      <c r="D333" s="279" t="s">
        <v>2</v>
      </c>
      <c r="E333" s="279" t="s">
        <v>2</v>
      </c>
      <c r="F333" s="280" t="s">
        <v>433</v>
      </c>
      <c r="G333" s="253">
        <f>SUM(G334:G336)</f>
        <v>0</v>
      </c>
      <c r="H333" s="281">
        <f>SUM(H334:H336)</f>
        <v>1558.127</v>
      </c>
      <c r="I333" s="253">
        <f>SUM(I334:I336)</f>
        <v>0</v>
      </c>
      <c r="J333" s="253">
        <f>SUM(J334:J336)</f>
        <v>1558.127</v>
      </c>
    </row>
    <row r="334" spans="1:10" ht="12.75" hidden="1">
      <c r="A334" s="363"/>
      <c r="B334" s="282"/>
      <c r="C334" s="283"/>
      <c r="D334" s="271">
        <v>2212</v>
      </c>
      <c r="E334" s="306">
        <v>5169</v>
      </c>
      <c r="F334" s="198" t="s">
        <v>32</v>
      </c>
      <c r="G334" s="113">
        <v>0</v>
      </c>
      <c r="H334" s="113">
        <v>4.356</v>
      </c>
      <c r="I334" s="113"/>
      <c r="J334" s="113">
        <f>H334+I334</f>
        <v>4.356</v>
      </c>
    </row>
    <row r="335" spans="1:10" ht="12.75" hidden="1">
      <c r="A335" s="363"/>
      <c r="B335" s="282"/>
      <c r="C335" s="315" t="s">
        <v>278</v>
      </c>
      <c r="D335" s="271">
        <v>2212</v>
      </c>
      <c r="E335" s="306">
        <v>5169</v>
      </c>
      <c r="F335" s="198" t="s">
        <v>32</v>
      </c>
      <c r="G335" s="113">
        <v>0</v>
      </c>
      <c r="H335" s="113">
        <f>24.684+26.923+19.844</f>
        <v>71.451</v>
      </c>
      <c r="I335" s="113"/>
      <c r="J335" s="113">
        <f>H335+I335</f>
        <v>71.451</v>
      </c>
    </row>
    <row r="336" spans="1:10" ht="13.5" hidden="1" thickBot="1">
      <c r="A336" s="363"/>
      <c r="B336" s="310"/>
      <c r="C336" s="311" t="s">
        <v>278</v>
      </c>
      <c r="D336" s="270">
        <v>2212</v>
      </c>
      <c r="E336" s="312">
        <v>5171</v>
      </c>
      <c r="F336" s="313" t="s">
        <v>281</v>
      </c>
      <c r="G336" s="188">
        <v>0</v>
      </c>
      <c r="H336" s="316">
        <v>1482.32</v>
      </c>
      <c r="I336" s="124"/>
      <c r="J336" s="188">
        <f>H336+I336</f>
        <v>1482.32</v>
      </c>
    </row>
    <row r="337" spans="1:10" ht="12.75" hidden="1">
      <c r="A337" s="363"/>
      <c r="B337" s="302" t="s">
        <v>4</v>
      </c>
      <c r="C337" s="273" t="s">
        <v>434</v>
      </c>
      <c r="D337" s="279" t="s">
        <v>2</v>
      </c>
      <c r="E337" s="279" t="s">
        <v>2</v>
      </c>
      <c r="F337" s="280" t="s">
        <v>435</v>
      </c>
      <c r="G337" s="253">
        <f>SUM(G338:G340)</f>
        <v>0</v>
      </c>
      <c r="H337" s="281">
        <f>SUM(H338:H340)</f>
        <v>893.3169999999999</v>
      </c>
      <c r="I337" s="253">
        <f>SUM(I338:I340)</f>
        <v>0</v>
      </c>
      <c r="J337" s="253">
        <f>SUM(J338:J340)</f>
        <v>893.3169999999999</v>
      </c>
    </row>
    <row r="338" spans="1:10" ht="12.75" hidden="1">
      <c r="A338" s="363"/>
      <c r="B338" s="282"/>
      <c r="C338" s="283"/>
      <c r="D338" s="271">
        <v>2212</v>
      </c>
      <c r="E338" s="306">
        <v>5169</v>
      </c>
      <c r="F338" s="198" t="s">
        <v>32</v>
      </c>
      <c r="G338" s="113">
        <v>0</v>
      </c>
      <c r="H338" s="113">
        <v>9.892</v>
      </c>
      <c r="I338" s="113"/>
      <c r="J338" s="113">
        <f>H338+I338</f>
        <v>9.892</v>
      </c>
    </row>
    <row r="339" spans="1:10" ht="12.75" hidden="1">
      <c r="A339" s="363"/>
      <c r="B339" s="282"/>
      <c r="C339" s="315" t="s">
        <v>278</v>
      </c>
      <c r="D339" s="271">
        <v>2212</v>
      </c>
      <c r="E339" s="306">
        <v>5169</v>
      </c>
      <c r="F339" s="198" t="s">
        <v>32</v>
      </c>
      <c r="G339" s="113">
        <v>0</v>
      </c>
      <c r="H339" s="113">
        <f>56.053+24.2+10.285</f>
        <v>90.538</v>
      </c>
      <c r="I339" s="113"/>
      <c r="J339" s="113">
        <f>H339+I339</f>
        <v>90.538</v>
      </c>
    </row>
    <row r="340" spans="1:10" ht="13.5" hidden="1" thickBot="1">
      <c r="A340" s="363"/>
      <c r="B340" s="310"/>
      <c r="C340" s="311" t="s">
        <v>278</v>
      </c>
      <c r="D340" s="270">
        <v>2212</v>
      </c>
      <c r="E340" s="312">
        <v>5171</v>
      </c>
      <c r="F340" s="313" t="s">
        <v>281</v>
      </c>
      <c r="G340" s="188">
        <v>0</v>
      </c>
      <c r="H340" s="124">
        <v>792.887</v>
      </c>
      <c r="I340" s="124"/>
      <c r="J340" s="188">
        <f>H340+I340</f>
        <v>792.887</v>
      </c>
    </row>
    <row r="341" spans="1:10" ht="12.75" hidden="1">
      <c r="A341" s="363"/>
      <c r="B341" s="302" t="s">
        <v>4</v>
      </c>
      <c r="C341" s="273" t="s">
        <v>436</v>
      </c>
      <c r="D341" s="279" t="s">
        <v>2</v>
      </c>
      <c r="E341" s="279" t="s">
        <v>2</v>
      </c>
      <c r="F341" s="280" t="s">
        <v>437</v>
      </c>
      <c r="G341" s="253">
        <f>SUM(G342:G343)</f>
        <v>0</v>
      </c>
      <c r="H341" s="281">
        <f>SUM(H342:H343)</f>
        <v>71.995</v>
      </c>
      <c r="I341" s="253">
        <f>SUM(I342:I343)</f>
        <v>0</v>
      </c>
      <c r="J341" s="253">
        <f>SUM(J342:J343)</f>
        <v>71.995</v>
      </c>
    </row>
    <row r="342" spans="1:10" ht="12.75" hidden="1">
      <c r="A342" s="363"/>
      <c r="B342" s="282"/>
      <c r="C342" s="283"/>
      <c r="D342" s="271">
        <v>2212</v>
      </c>
      <c r="E342" s="306">
        <v>5169</v>
      </c>
      <c r="F342" s="198" t="s">
        <v>32</v>
      </c>
      <c r="G342" s="113">
        <v>0</v>
      </c>
      <c r="H342" s="113">
        <v>10.7995</v>
      </c>
      <c r="I342" s="113"/>
      <c r="J342" s="113">
        <f>H342+I342</f>
        <v>10.7995</v>
      </c>
    </row>
    <row r="343" spans="1:10" ht="13.5" hidden="1" thickBot="1">
      <c r="A343" s="363"/>
      <c r="B343" s="292"/>
      <c r="C343" s="324" t="s">
        <v>278</v>
      </c>
      <c r="D343" s="261">
        <v>2212</v>
      </c>
      <c r="E343" s="325">
        <v>5169</v>
      </c>
      <c r="F343" s="199" t="s">
        <v>32</v>
      </c>
      <c r="G343" s="124">
        <v>0</v>
      </c>
      <c r="H343" s="124">
        <v>61.1955</v>
      </c>
      <c r="I343" s="124"/>
      <c r="J343" s="124">
        <f>H343+I343</f>
        <v>61.1955</v>
      </c>
    </row>
    <row r="344" spans="1:10" ht="12.75" hidden="1">
      <c r="A344" s="363"/>
      <c r="B344" s="302" t="s">
        <v>4</v>
      </c>
      <c r="C344" s="273" t="s">
        <v>438</v>
      </c>
      <c r="D344" s="279" t="s">
        <v>2</v>
      </c>
      <c r="E344" s="279" t="s">
        <v>2</v>
      </c>
      <c r="F344" s="280" t="s">
        <v>439</v>
      </c>
      <c r="G344" s="253">
        <f>SUM(G345:G347)</f>
        <v>0</v>
      </c>
      <c r="H344" s="281">
        <f>SUM(H345:H347)</f>
        <v>7597.882</v>
      </c>
      <c r="I344" s="253">
        <f>SUM(I345:I347)</f>
        <v>0</v>
      </c>
      <c r="J344" s="253">
        <f>SUM(J345:J347)</f>
        <v>7597.882</v>
      </c>
    </row>
    <row r="345" spans="1:10" ht="12.75" hidden="1">
      <c r="A345" s="363"/>
      <c r="B345" s="282"/>
      <c r="C345" s="283"/>
      <c r="D345" s="271">
        <v>2212</v>
      </c>
      <c r="E345" s="306">
        <v>5169</v>
      </c>
      <c r="F345" s="198" t="s">
        <v>32</v>
      </c>
      <c r="G345" s="113">
        <v>0</v>
      </c>
      <c r="H345" s="113">
        <v>9.892</v>
      </c>
      <c r="I345" s="113"/>
      <c r="J345" s="113">
        <f>H345+I345</f>
        <v>9.892</v>
      </c>
    </row>
    <row r="346" spans="1:10" ht="12.75" hidden="1">
      <c r="A346" s="363"/>
      <c r="B346" s="282"/>
      <c r="C346" s="315" t="s">
        <v>278</v>
      </c>
      <c r="D346" s="271">
        <v>2212</v>
      </c>
      <c r="E346" s="306">
        <v>5169</v>
      </c>
      <c r="F346" s="198" t="s">
        <v>32</v>
      </c>
      <c r="G346" s="113">
        <v>0</v>
      </c>
      <c r="H346" s="113">
        <f>56.053+49.61+33.856</f>
        <v>139.519</v>
      </c>
      <c r="I346" s="113"/>
      <c r="J346" s="113">
        <f>H346+I346</f>
        <v>139.519</v>
      </c>
    </row>
    <row r="347" spans="1:10" ht="13.5" hidden="1" thickBot="1">
      <c r="A347" s="363"/>
      <c r="B347" s="310"/>
      <c r="C347" s="311" t="s">
        <v>278</v>
      </c>
      <c r="D347" s="261">
        <v>2212</v>
      </c>
      <c r="E347" s="325">
        <v>5171</v>
      </c>
      <c r="F347" s="275" t="s">
        <v>281</v>
      </c>
      <c r="G347" s="188">
        <v>0</v>
      </c>
      <c r="H347" s="124">
        <v>7448.471</v>
      </c>
      <c r="I347" s="113"/>
      <c r="J347" s="124">
        <f>H347+I347</f>
        <v>7448.471</v>
      </c>
    </row>
    <row r="348" spans="1:10" ht="12.75" hidden="1">
      <c r="A348" s="363"/>
      <c r="B348" s="302" t="s">
        <v>4</v>
      </c>
      <c r="C348" s="273" t="s">
        <v>440</v>
      </c>
      <c r="D348" s="279" t="s">
        <v>2</v>
      </c>
      <c r="E348" s="279" t="s">
        <v>2</v>
      </c>
      <c r="F348" s="280" t="s">
        <v>441</v>
      </c>
      <c r="G348" s="253">
        <f>SUM(G349:G351)</f>
        <v>0</v>
      </c>
      <c r="H348" s="281">
        <f>SUM(H349:H351)</f>
        <v>1967.881</v>
      </c>
      <c r="I348" s="253">
        <f>SUM(I349:I351)</f>
        <v>0</v>
      </c>
      <c r="J348" s="253">
        <f>SUM(J349:J351)</f>
        <v>1967.881</v>
      </c>
    </row>
    <row r="349" spans="1:10" ht="12.75" hidden="1">
      <c r="A349" s="363"/>
      <c r="B349" s="282"/>
      <c r="C349" s="283"/>
      <c r="D349" s="271">
        <v>2212</v>
      </c>
      <c r="E349" s="306">
        <v>5169</v>
      </c>
      <c r="F349" s="198" t="s">
        <v>32</v>
      </c>
      <c r="G349" s="113">
        <v>0</v>
      </c>
      <c r="H349" s="113">
        <v>9.892</v>
      </c>
      <c r="I349" s="113"/>
      <c r="J349" s="113">
        <f>H349+I349</f>
        <v>9.892</v>
      </c>
    </row>
    <row r="350" spans="1:10" ht="12.75" hidden="1">
      <c r="A350" s="363"/>
      <c r="B350" s="282"/>
      <c r="C350" s="315" t="s">
        <v>278</v>
      </c>
      <c r="D350" s="271">
        <v>2212</v>
      </c>
      <c r="E350" s="306">
        <v>5169</v>
      </c>
      <c r="F350" s="198" t="s">
        <v>32</v>
      </c>
      <c r="G350" s="113">
        <v>0</v>
      </c>
      <c r="H350" s="113">
        <f>56.053+24.2+10.285</f>
        <v>90.538</v>
      </c>
      <c r="I350" s="113"/>
      <c r="J350" s="113">
        <f>H350+I350</f>
        <v>90.538</v>
      </c>
    </row>
    <row r="351" spans="1:10" ht="13.5" hidden="1" thickBot="1">
      <c r="A351" s="363"/>
      <c r="B351" s="310"/>
      <c r="C351" s="311" t="s">
        <v>278</v>
      </c>
      <c r="D351" s="270">
        <v>2212</v>
      </c>
      <c r="E351" s="312">
        <v>5171</v>
      </c>
      <c r="F351" s="313" t="s">
        <v>281</v>
      </c>
      <c r="G351" s="188">
        <v>0</v>
      </c>
      <c r="H351" s="124">
        <v>1867.451</v>
      </c>
      <c r="I351" s="124"/>
      <c r="J351" s="188">
        <f>H351+I351</f>
        <v>1867.451</v>
      </c>
    </row>
    <row r="352" spans="1:10" ht="12.75" hidden="1">
      <c r="A352" s="363"/>
      <c r="B352" s="302" t="s">
        <v>4</v>
      </c>
      <c r="C352" s="273" t="s">
        <v>442</v>
      </c>
      <c r="D352" s="279" t="s">
        <v>2</v>
      </c>
      <c r="E352" s="279" t="s">
        <v>2</v>
      </c>
      <c r="F352" s="280" t="s">
        <v>443</v>
      </c>
      <c r="G352" s="253">
        <f>SUM(G353:G355)</f>
        <v>0</v>
      </c>
      <c r="H352" s="281">
        <f>SUM(H353:H355)</f>
        <v>2009.527</v>
      </c>
      <c r="I352" s="253">
        <f>SUM(I353:I355)</f>
        <v>0</v>
      </c>
      <c r="J352" s="253">
        <f>SUM(J353:J355)</f>
        <v>2009.527</v>
      </c>
    </row>
    <row r="353" spans="1:10" ht="12.75" hidden="1">
      <c r="A353" s="363"/>
      <c r="B353" s="282"/>
      <c r="C353" s="283"/>
      <c r="D353" s="271">
        <v>2212</v>
      </c>
      <c r="E353" s="306">
        <v>5169</v>
      </c>
      <c r="F353" s="198" t="s">
        <v>32</v>
      </c>
      <c r="G353" s="113">
        <v>0</v>
      </c>
      <c r="H353" s="113">
        <v>8.9845</v>
      </c>
      <c r="I353" s="113"/>
      <c r="J353" s="113">
        <f>H353+I353</f>
        <v>8.9845</v>
      </c>
    </row>
    <row r="354" spans="1:10" ht="12.75" hidden="1">
      <c r="A354" s="363"/>
      <c r="B354" s="282"/>
      <c r="C354" s="315" t="s">
        <v>278</v>
      </c>
      <c r="D354" s="271">
        <v>2212</v>
      </c>
      <c r="E354" s="306">
        <v>5169</v>
      </c>
      <c r="F354" s="198" t="s">
        <v>32</v>
      </c>
      <c r="G354" s="113">
        <v>0</v>
      </c>
      <c r="H354" s="113">
        <f>50.9105+33.033+27.612</f>
        <v>111.5555</v>
      </c>
      <c r="I354" s="113"/>
      <c r="J354" s="113">
        <f>H354+I354</f>
        <v>111.5555</v>
      </c>
    </row>
    <row r="355" spans="1:10" ht="13.5" hidden="1" thickBot="1">
      <c r="A355" s="363"/>
      <c r="B355" s="310"/>
      <c r="C355" s="311" t="s">
        <v>278</v>
      </c>
      <c r="D355" s="270">
        <v>2212</v>
      </c>
      <c r="E355" s="312">
        <v>5171</v>
      </c>
      <c r="F355" s="313" t="s">
        <v>281</v>
      </c>
      <c r="G355" s="188">
        <v>0</v>
      </c>
      <c r="H355" s="124">
        <v>1888.987</v>
      </c>
      <c r="I355" s="124"/>
      <c r="J355" s="188">
        <f>H355+I355</f>
        <v>1888.987</v>
      </c>
    </row>
    <row r="356" spans="1:10" ht="12.75" hidden="1">
      <c r="A356" s="363"/>
      <c r="B356" s="302" t="s">
        <v>4</v>
      </c>
      <c r="C356" s="273" t="s">
        <v>444</v>
      </c>
      <c r="D356" s="279" t="s">
        <v>2</v>
      </c>
      <c r="E356" s="279" t="s">
        <v>2</v>
      </c>
      <c r="F356" s="280" t="s">
        <v>445</v>
      </c>
      <c r="G356" s="253">
        <f>SUM(G357:G358)</f>
        <v>0</v>
      </c>
      <c r="H356" s="281">
        <f>SUM(H357:H358)</f>
        <v>4373.151</v>
      </c>
      <c r="I356" s="253">
        <f>SUM(I357:I358)</f>
        <v>0</v>
      </c>
      <c r="J356" s="253">
        <f>SUM(J357:J358)</f>
        <v>4373.151</v>
      </c>
    </row>
    <row r="357" spans="1:10" ht="12.75" hidden="1">
      <c r="A357" s="363"/>
      <c r="B357" s="282"/>
      <c r="C357" s="315" t="s">
        <v>278</v>
      </c>
      <c r="D357" s="271">
        <v>2212</v>
      </c>
      <c r="E357" s="306">
        <v>5169</v>
      </c>
      <c r="F357" s="198" t="s">
        <v>32</v>
      </c>
      <c r="G357" s="113">
        <v>0</v>
      </c>
      <c r="H357" s="316">
        <f>123.42+62.92</f>
        <v>186.34</v>
      </c>
      <c r="I357" s="113"/>
      <c r="J357" s="113">
        <f>H357+I357</f>
        <v>186.34</v>
      </c>
    </row>
    <row r="358" spans="1:10" ht="13.5" hidden="1" thickBot="1">
      <c r="A358" s="363"/>
      <c r="B358" s="292"/>
      <c r="C358" s="331"/>
      <c r="D358" s="261">
        <v>2212</v>
      </c>
      <c r="E358" s="325">
        <v>5171</v>
      </c>
      <c r="F358" s="275" t="s">
        <v>281</v>
      </c>
      <c r="G358" s="124">
        <v>0</v>
      </c>
      <c r="H358" s="124">
        <f>4186.811*0.15-511.6785+0.00035+(4186.811*0.85+511.6785-0.00035)</f>
        <v>4186.811</v>
      </c>
      <c r="I358" s="124"/>
      <c r="J358" s="124">
        <f>H358+I358</f>
        <v>4186.811</v>
      </c>
    </row>
    <row r="359" spans="1:10" ht="12.75" hidden="1">
      <c r="A359" s="363"/>
      <c r="B359" s="302" t="s">
        <v>4</v>
      </c>
      <c r="C359" s="334" t="s">
        <v>446</v>
      </c>
      <c r="D359" s="335" t="s">
        <v>2</v>
      </c>
      <c r="E359" s="335" t="s">
        <v>2</v>
      </c>
      <c r="F359" s="336" t="s">
        <v>447</v>
      </c>
      <c r="G359" s="281">
        <f>SUM(G360:G361)</f>
        <v>0</v>
      </c>
      <c r="H359" s="281">
        <f>SUM(H360:H361)</f>
        <v>0</v>
      </c>
      <c r="I359" s="253">
        <f>SUM(I360:I361)</f>
        <v>0</v>
      </c>
      <c r="J359" s="253">
        <f>SUM(J360:J361)</f>
        <v>0</v>
      </c>
    </row>
    <row r="360" spans="1:10" ht="12.75" hidden="1">
      <c r="A360" s="363"/>
      <c r="B360" s="282"/>
      <c r="C360" s="337" t="s">
        <v>278</v>
      </c>
      <c r="D360" s="338">
        <v>2212</v>
      </c>
      <c r="E360" s="339">
        <v>5169</v>
      </c>
      <c r="F360" s="340" t="s">
        <v>32</v>
      </c>
      <c r="G360" s="238">
        <v>0</v>
      </c>
      <c r="H360" s="113">
        <v>0</v>
      </c>
      <c r="I360" s="113"/>
      <c r="J360" s="113">
        <f>H360+I360</f>
        <v>0</v>
      </c>
    </row>
    <row r="361" spans="1:10" ht="13.5" hidden="1" thickBot="1">
      <c r="A361" s="364"/>
      <c r="B361" s="292"/>
      <c r="C361" s="341" t="s">
        <v>278</v>
      </c>
      <c r="D361" s="342">
        <v>2212</v>
      </c>
      <c r="E361" s="343">
        <v>5171</v>
      </c>
      <c r="F361" s="344" t="s">
        <v>281</v>
      </c>
      <c r="G361" s="237">
        <v>0</v>
      </c>
      <c r="H361" s="124">
        <v>0</v>
      </c>
      <c r="I361" s="124"/>
      <c r="J361" s="124">
        <f>H361+I361</f>
        <v>0</v>
      </c>
    </row>
    <row r="362" ht="12.75">
      <c r="A362" s="350"/>
    </row>
  </sheetData>
  <sheetProtection/>
  <mergeCells count="12">
    <mergeCell ref="D5:D6"/>
    <mergeCell ref="E5:E6"/>
    <mergeCell ref="F5:F6"/>
    <mergeCell ref="G5:G6"/>
    <mergeCell ref="A1:J1"/>
    <mergeCell ref="A3:J3"/>
    <mergeCell ref="I5:J5"/>
    <mergeCell ref="A8:A361"/>
    <mergeCell ref="H5:H6"/>
    <mergeCell ref="A5:A6"/>
    <mergeCell ref="B5:B6"/>
    <mergeCell ref="C5:C6"/>
  </mergeCells>
  <printOptions horizontalCentered="1"/>
  <pageMargins left="0.3937007874015748" right="0.3937007874015748" top="0.57" bottom="0.54" header="0.18" footer="0.17"/>
  <pageSetup fitToHeight="1" fitToWidth="1" horizontalDpi="600" verticalDpi="600" orientation="portrait" paperSize="9" scale="92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3"/>
  <sheetViews>
    <sheetView tabSelected="1" zoomScalePageLayoutView="0" workbookViewId="0" topLeftCell="A1">
      <pane xSplit="1" ySplit="7" topLeftCell="B1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63" sqref="G163"/>
    </sheetView>
  </sheetViews>
  <sheetFormatPr defaultColWidth="9.140625" defaultRowHeight="12.75"/>
  <cols>
    <col min="1" max="2" width="3.00390625" style="74" customWidth="1"/>
    <col min="3" max="3" width="9.140625" style="74" customWidth="1"/>
    <col min="4" max="4" width="4.28125" style="74" customWidth="1"/>
    <col min="5" max="5" width="5.28125" style="74" customWidth="1"/>
    <col min="6" max="6" width="7.8515625" style="74" bestFit="1" customWidth="1"/>
    <col min="7" max="7" width="43.7109375" style="74" customWidth="1"/>
    <col min="8" max="8" width="8.140625" style="74" customWidth="1"/>
    <col min="9" max="9" width="8.7109375" style="74" customWidth="1"/>
    <col min="10" max="10" width="9.00390625" style="74" customWidth="1"/>
    <col min="11" max="11" width="9.421875" style="74" customWidth="1"/>
    <col min="12" max="16384" width="9.140625" style="74" customWidth="1"/>
  </cols>
  <sheetData>
    <row r="1" spans="1:11" s="23" customFormat="1" ht="18">
      <c r="A1" s="377" t="s">
        <v>108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s="24" customFormat="1" ht="12.75">
      <c r="A2" s="25"/>
      <c r="B2" s="67"/>
      <c r="C2" s="68"/>
      <c r="D2" s="67"/>
      <c r="E2" s="67"/>
      <c r="F2" s="69"/>
      <c r="G2" s="70"/>
      <c r="H2" s="71"/>
      <c r="I2" s="71"/>
      <c r="J2" s="71"/>
      <c r="K2" s="26"/>
    </row>
    <row r="3" spans="1:11" s="24" customFormat="1" ht="15.75" customHeight="1">
      <c r="A3" s="359" t="s">
        <v>76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13.5" thickBot="1">
      <c r="A4" s="72"/>
      <c r="B4" s="72"/>
      <c r="C4" s="72"/>
      <c r="D4" s="72"/>
      <c r="E4" s="72"/>
      <c r="F4" s="72"/>
      <c r="G4" s="72"/>
      <c r="H4" s="72"/>
      <c r="I4" s="73"/>
      <c r="K4" s="73" t="s">
        <v>36</v>
      </c>
    </row>
    <row r="5" spans="1:11" ht="12.75" customHeight="1" thickBot="1">
      <c r="A5" s="378" t="s">
        <v>9</v>
      </c>
      <c r="B5" s="380" t="s">
        <v>3</v>
      </c>
      <c r="C5" s="382" t="s">
        <v>5</v>
      </c>
      <c r="D5" s="382" t="s">
        <v>6</v>
      </c>
      <c r="E5" s="382" t="s">
        <v>7</v>
      </c>
      <c r="F5" s="388" t="s">
        <v>37</v>
      </c>
      <c r="G5" s="386" t="s">
        <v>38</v>
      </c>
      <c r="H5" s="390" t="s">
        <v>115</v>
      </c>
      <c r="I5" s="386" t="s">
        <v>116</v>
      </c>
      <c r="J5" s="384" t="s">
        <v>450</v>
      </c>
      <c r="K5" s="385"/>
    </row>
    <row r="6" spans="1:11" ht="12.75" customHeight="1" thickBot="1">
      <c r="A6" s="379"/>
      <c r="B6" s="381"/>
      <c r="C6" s="383"/>
      <c r="D6" s="383"/>
      <c r="E6" s="383"/>
      <c r="F6" s="389"/>
      <c r="G6" s="387"/>
      <c r="H6" s="391"/>
      <c r="I6" s="387"/>
      <c r="J6" s="27" t="s">
        <v>8</v>
      </c>
      <c r="K6" s="75" t="s">
        <v>117</v>
      </c>
    </row>
    <row r="7" spans="1:11" s="24" customFormat="1" ht="12.75" customHeight="1" thickBot="1">
      <c r="A7" s="374" t="s">
        <v>109</v>
      </c>
      <c r="B7" s="76" t="s">
        <v>4</v>
      </c>
      <c r="C7" s="77" t="s">
        <v>5</v>
      </c>
      <c r="D7" s="77" t="s">
        <v>6</v>
      </c>
      <c r="E7" s="77" t="s">
        <v>7</v>
      </c>
      <c r="F7" s="78"/>
      <c r="G7" s="79" t="s">
        <v>39</v>
      </c>
      <c r="H7" s="80">
        <f>H8+H167</f>
        <v>16362</v>
      </c>
      <c r="I7" s="80">
        <f>I8+I167</f>
        <v>243862.29800000004</v>
      </c>
      <c r="J7" s="80">
        <f>J8+J167</f>
        <v>592.9</v>
      </c>
      <c r="K7" s="80">
        <f>K8+K167</f>
        <v>244455.19800000003</v>
      </c>
    </row>
    <row r="8" spans="1:11" ht="12.75" customHeight="1" thickBot="1">
      <c r="A8" s="375"/>
      <c r="B8" s="81" t="s">
        <v>4</v>
      </c>
      <c r="C8" s="82" t="s">
        <v>2</v>
      </c>
      <c r="D8" s="83" t="s">
        <v>2</v>
      </c>
      <c r="E8" s="84" t="s">
        <v>2</v>
      </c>
      <c r="F8" s="85"/>
      <c r="G8" s="29" t="s">
        <v>40</v>
      </c>
      <c r="H8" s="86">
        <f>H9+H11+H16+H20+H24+H34+H45+H47+H49+H54+H59+H62+H65+H68+H71+H74+H78+H81+H84+H87+H89+H91+H95+H97+H99+H101+H103+H105+H107+H109+H111+H113+H115+H117+H119+H121+H123+H125+H127+H129+H131+H133+H135+H137+H139+H141+H143+H145+H147+H149+H151+H153+H155+H157+H159+H161+H163+H165</f>
        <v>16017</v>
      </c>
      <c r="I8" s="86">
        <f>I9+I11+I16+I20+I24+I34+I45+I47+I49+I54+I59+I62+I65+I68+I71+I74+I78+I81+I84+I87+I89+I91+I95+I97+I99+I101+I103+I105+I107+I109+I111+I113+I115+I117+I119+I121+I123+I125+I127+I129+I131+I133+I135+I137+I139+I141+I143+I145+I147+I149+I151+I153+I155+I157+I159+I161+I163+I165</f>
        <v>240317.29800000004</v>
      </c>
      <c r="J8" s="86">
        <f>J9+J11+J16+J20+J24+J34+J45+J47+J49+J54+J59+J62+J65+J68+J71+J74+J78+J81+J84+J87+J89+J91+J95+J97+J99+J101+J103+J105+J107+J109+J111+J113+J115+J117+J119+J121+J123+J125+J127+J129+J131+J133+J135+J137+J139+J141+J143+J145+J147+J149+J151+J153+J155+J157+J159+J161+J163+J165</f>
        <v>592.9</v>
      </c>
      <c r="K8" s="87">
        <f>K9+K11+K16+K20+K24+K34+K45+K47+K49+K54+K59+K62+K65+K68+K71+K74+K78+K81+K84+K87+K89+K91+K95+K97+K99+K101+K103+K105+K107+K109+K111+K113+K115+K117+K119+K121+K123+K125+K127+K129+K131+K133+K135+K137+K139+K141+K143+K145+K147+K149+K151+K153+K155+K157+K159+K161+K163+K165</f>
        <v>240910.19800000003</v>
      </c>
    </row>
    <row r="9" spans="1:11" ht="12.75" customHeight="1">
      <c r="A9" s="375"/>
      <c r="B9" s="88" t="s">
        <v>4</v>
      </c>
      <c r="C9" s="89" t="s">
        <v>123</v>
      </c>
      <c r="D9" s="90" t="s">
        <v>2</v>
      </c>
      <c r="E9" s="91" t="s">
        <v>2</v>
      </c>
      <c r="F9" s="92"/>
      <c r="G9" s="28" t="s">
        <v>124</v>
      </c>
      <c r="H9" s="93">
        <f>SUM(H10:H10)</f>
        <v>0</v>
      </c>
      <c r="I9" s="93">
        <f>SUM(I10:I10)</f>
        <v>19.108</v>
      </c>
      <c r="J9" s="93">
        <f>SUM(J10:J10)</f>
        <v>0</v>
      </c>
      <c r="K9" s="94">
        <f>SUM(K10:K10)</f>
        <v>19.108</v>
      </c>
    </row>
    <row r="10" spans="1:11" ht="12.75" customHeight="1" thickBot="1">
      <c r="A10" s="375"/>
      <c r="B10" s="95"/>
      <c r="C10" s="96"/>
      <c r="D10" s="97">
        <v>6409</v>
      </c>
      <c r="E10" s="98">
        <v>5363</v>
      </c>
      <c r="F10" s="99"/>
      <c r="G10" s="100" t="s">
        <v>70</v>
      </c>
      <c r="H10" s="101">
        <v>0</v>
      </c>
      <c r="I10" s="102">
        <v>19.108</v>
      </c>
      <c r="J10" s="102"/>
      <c r="K10" s="103">
        <f>I10+J10</f>
        <v>19.108</v>
      </c>
    </row>
    <row r="11" spans="1:11" ht="12.75" customHeight="1">
      <c r="A11" s="375"/>
      <c r="B11" s="88" t="s">
        <v>4</v>
      </c>
      <c r="C11" s="89" t="s">
        <v>42</v>
      </c>
      <c r="D11" s="104"/>
      <c r="E11" s="105" t="s">
        <v>2</v>
      </c>
      <c r="F11" s="106"/>
      <c r="G11" s="30" t="s">
        <v>43</v>
      </c>
      <c r="H11" s="94">
        <f>SUM(H12:H15)</f>
        <v>0</v>
      </c>
      <c r="I11" s="93">
        <f>SUM(I12:I15)</f>
        <v>3158</v>
      </c>
      <c r="J11" s="93">
        <f>SUM(J12:J15)</f>
        <v>0</v>
      </c>
      <c r="K11" s="94">
        <f>SUM(K12:K15)</f>
        <v>3158</v>
      </c>
    </row>
    <row r="12" spans="1:11" ht="12.75" customHeight="1">
      <c r="A12" s="375"/>
      <c r="B12" s="107"/>
      <c r="C12" s="108"/>
      <c r="D12" s="109">
        <v>2212</v>
      </c>
      <c r="E12" s="110">
        <v>6121</v>
      </c>
      <c r="F12" s="111">
        <v>38100000</v>
      </c>
      <c r="G12" s="112" t="s">
        <v>125</v>
      </c>
      <c r="H12" s="113">
        <v>0</v>
      </c>
      <c r="I12" s="114">
        <v>237</v>
      </c>
      <c r="J12" s="115"/>
      <c r="K12" s="116">
        <f>I12+J12</f>
        <v>237</v>
      </c>
    </row>
    <row r="13" spans="1:11" ht="12.75" customHeight="1">
      <c r="A13" s="375"/>
      <c r="B13" s="117"/>
      <c r="C13" s="108"/>
      <c r="D13" s="109">
        <v>2212</v>
      </c>
      <c r="E13" s="110">
        <v>6121</v>
      </c>
      <c r="F13" s="118" t="s">
        <v>44</v>
      </c>
      <c r="G13" s="112" t="s">
        <v>125</v>
      </c>
      <c r="H13" s="113">
        <v>0</v>
      </c>
      <c r="I13" s="114">
        <v>236</v>
      </c>
      <c r="J13" s="115"/>
      <c r="K13" s="116">
        <f>I13+J13</f>
        <v>236</v>
      </c>
    </row>
    <row r="14" spans="1:11" ht="12.75" customHeight="1">
      <c r="A14" s="375"/>
      <c r="B14" s="117"/>
      <c r="C14" s="108"/>
      <c r="D14" s="109">
        <v>2212</v>
      </c>
      <c r="E14" s="110">
        <v>6121</v>
      </c>
      <c r="F14" s="118" t="s">
        <v>45</v>
      </c>
      <c r="G14" s="112" t="s">
        <v>125</v>
      </c>
      <c r="H14" s="113">
        <v>0</v>
      </c>
      <c r="I14" s="114">
        <v>2680</v>
      </c>
      <c r="J14" s="115"/>
      <c r="K14" s="116">
        <f>I14+J14</f>
        <v>2680</v>
      </c>
    </row>
    <row r="15" spans="1:11" ht="12.75" customHeight="1" thickBot="1">
      <c r="A15" s="375"/>
      <c r="B15" s="119"/>
      <c r="C15" s="120"/>
      <c r="D15" s="121">
        <v>6310</v>
      </c>
      <c r="E15" s="122">
        <v>5163</v>
      </c>
      <c r="F15" s="123"/>
      <c r="G15" s="32" t="s">
        <v>41</v>
      </c>
      <c r="H15" s="124">
        <v>0</v>
      </c>
      <c r="I15" s="125">
        <v>5</v>
      </c>
      <c r="J15" s="124"/>
      <c r="K15" s="116">
        <f>I15+J15</f>
        <v>5</v>
      </c>
    </row>
    <row r="16" spans="1:11" ht="12.75" customHeight="1">
      <c r="A16" s="375"/>
      <c r="B16" s="88" t="s">
        <v>4</v>
      </c>
      <c r="C16" s="89" t="s">
        <v>48</v>
      </c>
      <c r="D16" s="104"/>
      <c r="E16" s="105" t="s">
        <v>2</v>
      </c>
      <c r="F16" s="106"/>
      <c r="G16" s="30" t="s">
        <v>71</v>
      </c>
      <c r="H16" s="93">
        <f>SUM(H17:H19)</f>
        <v>0</v>
      </c>
      <c r="I16" s="93">
        <f>SUM(I17:I19)</f>
        <v>359.94</v>
      </c>
      <c r="J16" s="93">
        <f>SUM(J17:J19)</f>
        <v>0</v>
      </c>
      <c r="K16" s="94">
        <f>SUM(K17:K19)</f>
        <v>359.94</v>
      </c>
    </row>
    <row r="17" spans="1:11" ht="12.75" customHeight="1">
      <c r="A17" s="375"/>
      <c r="B17" s="126"/>
      <c r="C17" s="127"/>
      <c r="D17" s="109">
        <v>6310</v>
      </c>
      <c r="E17" s="110">
        <v>5163</v>
      </c>
      <c r="F17" s="118"/>
      <c r="G17" s="33" t="s">
        <v>41</v>
      </c>
      <c r="H17" s="128">
        <v>0</v>
      </c>
      <c r="I17" s="129">
        <v>5</v>
      </c>
      <c r="J17" s="130"/>
      <c r="K17" s="116">
        <f>I17+J17</f>
        <v>5</v>
      </c>
    </row>
    <row r="18" spans="1:11" ht="12.75" customHeight="1">
      <c r="A18" s="375"/>
      <c r="B18" s="126"/>
      <c r="C18" s="131"/>
      <c r="D18" s="109">
        <v>6402</v>
      </c>
      <c r="E18" s="132">
        <v>5368</v>
      </c>
      <c r="F18" s="133"/>
      <c r="G18" s="33" t="s">
        <v>47</v>
      </c>
      <c r="H18" s="128">
        <v>0</v>
      </c>
      <c r="I18" s="134">
        <v>269.94</v>
      </c>
      <c r="J18" s="134"/>
      <c r="K18" s="116">
        <f>I18+J18</f>
        <v>269.94</v>
      </c>
    </row>
    <row r="19" spans="1:11" ht="12.75" customHeight="1" thickBot="1">
      <c r="A19" s="375"/>
      <c r="B19" s="135"/>
      <c r="C19" s="136" t="s">
        <v>72</v>
      </c>
      <c r="D19" s="137">
        <v>2212</v>
      </c>
      <c r="E19" s="138">
        <v>6351</v>
      </c>
      <c r="F19" s="139" t="s">
        <v>46</v>
      </c>
      <c r="G19" s="63" t="s">
        <v>35</v>
      </c>
      <c r="H19" s="102">
        <v>0</v>
      </c>
      <c r="I19" s="140">
        <v>85</v>
      </c>
      <c r="J19" s="101"/>
      <c r="K19" s="103">
        <f>I19+J19</f>
        <v>85</v>
      </c>
    </row>
    <row r="20" spans="1:11" ht="12.75" customHeight="1">
      <c r="A20" s="375"/>
      <c r="B20" s="88" t="s">
        <v>4</v>
      </c>
      <c r="C20" s="89" t="s">
        <v>49</v>
      </c>
      <c r="D20" s="104"/>
      <c r="E20" s="105" t="s">
        <v>2</v>
      </c>
      <c r="F20" s="106"/>
      <c r="G20" s="30" t="s">
        <v>50</v>
      </c>
      <c r="H20" s="93">
        <f>SUM(H21:H23)</f>
        <v>0</v>
      </c>
      <c r="I20" s="93">
        <f>SUM(I21:I23)</f>
        <v>288.81</v>
      </c>
      <c r="J20" s="93">
        <f>SUM(J21:J23)</f>
        <v>0</v>
      </c>
      <c r="K20" s="94">
        <f>SUM(K21:K23)</f>
        <v>288.81</v>
      </c>
    </row>
    <row r="21" spans="1:11" ht="12.75" customHeight="1">
      <c r="A21" s="375"/>
      <c r="B21" s="126"/>
      <c r="C21" s="108"/>
      <c r="D21" s="109">
        <v>6310</v>
      </c>
      <c r="E21" s="110">
        <v>5163</v>
      </c>
      <c r="F21" s="118"/>
      <c r="G21" s="33" t="s">
        <v>41</v>
      </c>
      <c r="H21" s="128">
        <v>0</v>
      </c>
      <c r="I21" s="128">
        <v>5</v>
      </c>
      <c r="J21" s="113"/>
      <c r="K21" s="116">
        <f>I21+J21</f>
        <v>5</v>
      </c>
    </row>
    <row r="22" spans="1:11" ht="12.75" customHeight="1">
      <c r="A22" s="375"/>
      <c r="B22" s="126"/>
      <c r="C22" s="131"/>
      <c r="D22" s="109">
        <v>6402</v>
      </c>
      <c r="E22" s="132">
        <v>5368</v>
      </c>
      <c r="F22" s="133"/>
      <c r="G22" s="33" t="s">
        <v>47</v>
      </c>
      <c r="H22" s="128">
        <v>0</v>
      </c>
      <c r="I22" s="141">
        <f>283.81-0.3411</f>
        <v>283.4689</v>
      </c>
      <c r="J22" s="134"/>
      <c r="K22" s="116">
        <f>I22+J22</f>
        <v>283.4689</v>
      </c>
    </row>
    <row r="23" spans="1:11" ht="12.75" customHeight="1" thickBot="1">
      <c r="A23" s="375"/>
      <c r="B23" s="95"/>
      <c r="C23" s="96"/>
      <c r="D23" s="97">
        <v>6409</v>
      </c>
      <c r="E23" s="98">
        <v>5363</v>
      </c>
      <c r="F23" s="99"/>
      <c r="G23" s="100" t="s">
        <v>70</v>
      </c>
      <c r="H23" s="101">
        <v>0</v>
      </c>
      <c r="I23" s="142">
        <v>0.3411</v>
      </c>
      <c r="J23" s="102"/>
      <c r="K23" s="103">
        <f>I23+J23</f>
        <v>0.3411</v>
      </c>
    </row>
    <row r="24" spans="1:11" ht="12.75" customHeight="1">
      <c r="A24" s="375"/>
      <c r="B24" s="88" t="s">
        <v>4</v>
      </c>
      <c r="C24" s="89" t="s">
        <v>51</v>
      </c>
      <c r="D24" s="104"/>
      <c r="E24" s="105" t="s">
        <v>2</v>
      </c>
      <c r="F24" s="106"/>
      <c r="G24" s="30" t="s">
        <v>73</v>
      </c>
      <c r="H24" s="94">
        <f>SUM(H25:H33)</f>
        <v>0</v>
      </c>
      <c r="I24" s="93">
        <f>SUM(I25:I33)</f>
        <v>37460</v>
      </c>
      <c r="J24" s="93">
        <f>SUM(J25:J33)</f>
        <v>0</v>
      </c>
      <c r="K24" s="94">
        <f>SUM(K25:K33)</f>
        <v>37460</v>
      </c>
    </row>
    <row r="25" spans="1:11" ht="12.75" customHeight="1">
      <c r="A25" s="375"/>
      <c r="B25" s="107"/>
      <c r="C25" s="108"/>
      <c r="D25" s="109">
        <v>2212</v>
      </c>
      <c r="E25" s="110">
        <v>6121</v>
      </c>
      <c r="F25" s="111">
        <v>38100000</v>
      </c>
      <c r="G25" s="112" t="s">
        <v>125</v>
      </c>
      <c r="H25" s="113">
        <v>0</v>
      </c>
      <c r="I25" s="143">
        <f>2752-18.1</f>
        <v>2733.9</v>
      </c>
      <c r="J25" s="144"/>
      <c r="K25" s="116">
        <f aca="true" t="shared" si="0" ref="K25:K33">I25+J25</f>
        <v>2733.9</v>
      </c>
    </row>
    <row r="26" spans="1:11" ht="12.75" customHeight="1">
      <c r="A26" s="375"/>
      <c r="B26" s="117"/>
      <c r="C26" s="108"/>
      <c r="D26" s="109">
        <v>2212</v>
      </c>
      <c r="E26" s="110">
        <v>6121</v>
      </c>
      <c r="F26" s="118" t="s">
        <v>44</v>
      </c>
      <c r="G26" s="112" t="s">
        <v>125</v>
      </c>
      <c r="H26" s="113">
        <v>0</v>
      </c>
      <c r="I26" s="143">
        <v>2752</v>
      </c>
      <c r="J26" s="144"/>
      <c r="K26" s="116">
        <f t="shared" si="0"/>
        <v>2752</v>
      </c>
    </row>
    <row r="27" spans="1:11" ht="12.75" customHeight="1">
      <c r="A27" s="375"/>
      <c r="B27" s="117"/>
      <c r="C27" s="108"/>
      <c r="D27" s="109">
        <v>2212</v>
      </c>
      <c r="E27" s="110">
        <v>6121</v>
      </c>
      <c r="F27" s="118" t="s">
        <v>45</v>
      </c>
      <c r="G27" s="112" t="s">
        <v>125</v>
      </c>
      <c r="H27" s="113">
        <v>0</v>
      </c>
      <c r="I27" s="143">
        <v>31191</v>
      </c>
      <c r="J27" s="144"/>
      <c r="K27" s="116">
        <f t="shared" si="0"/>
        <v>31191</v>
      </c>
    </row>
    <row r="28" spans="1:11" ht="12.75" customHeight="1">
      <c r="A28" s="375"/>
      <c r="B28" s="107"/>
      <c r="C28" s="108"/>
      <c r="D28" s="109">
        <v>2212</v>
      </c>
      <c r="E28" s="110">
        <v>6121</v>
      </c>
      <c r="F28" s="99" t="s">
        <v>46</v>
      </c>
      <c r="G28" s="112" t="s">
        <v>125</v>
      </c>
      <c r="H28" s="113">
        <v>0</v>
      </c>
      <c r="I28" s="143">
        <f>18.1+700</f>
        <v>718.1</v>
      </c>
      <c r="J28" s="144"/>
      <c r="K28" s="116">
        <f>I28+J28</f>
        <v>718.1</v>
      </c>
    </row>
    <row r="29" spans="1:11" ht="12.75" customHeight="1">
      <c r="A29" s="375"/>
      <c r="B29" s="117"/>
      <c r="C29" s="108"/>
      <c r="D29" s="97">
        <v>2212</v>
      </c>
      <c r="E29" s="98">
        <v>5139</v>
      </c>
      <c r="F29" s="145">
        <v>38100000</v>
      </c>
      <c r="G29" s="146" t="s">
        <v>34</v>
      </c>
      <c r="H29" s="128">
        <v>0</v>
      </c>
      <c r="I29" s="147">
        <v>1.5</v>
      </c>
      <c r="J29" s="115"/>
      <c r="K29" s="116">
        <f t="shared" si="0"/>
        <v>1.5</v>
      </c>
    </row>
    <row r="30" spans="1:11" ht="12.75" customHeight="1">
      <c r="A30" s="375"/>
      <c r="B30" s="117"/>
      <c r="C30" s="108"/>
      <c r="D30" s="109">
        <v>2212</v>
      </c>
      <c r="E30" s="98">
        <v>5139</v>
      </c>
      <c r="F30" s="148">
        <v>38585005</v>
      </c>
      <c r="G30" s="146" t="s">
        <v>34</v>
      </c>
      <c r="H30" s="128">
        <v>0</v>
      </c>
      <c r="I30" s="147">
        <f>10*0.85</f>
        <v>8.5</v>
      </c>
      <c r="J30" s="115"/>
      <c r="K30" s="116">
        <f t="shared" si="0"/>
        <v>8.5</v>
      </c>
    </row>
    <row r="31" spans="1:11" ht="12.75" customHeight="1">
      <c r="A31" s="375"/>
      <c r="B31" s="117"/>
      <c r="C31" s="108"/>
      <c r="D31" s="109">
        <v>2212</v>
      </c>
      <c r="E31" s="98">
        <v>5169</v>
      </c>
      <c r="F31" s="111">
        <v>38100000</v>
      </c>
      <c r="G31" s="149" t="s">
        <v>32</v>
      </c>
      <c r="H31" s="128">
        <v>0</v>
      </c>
      <c r="I31" s="147">
        <v>7.5</v>
      </c>
      <c r="J31" s="115"/>
      <c r="K31" s="116">
        <f t="shared" si="0"/>
        <v>7.5</v>
      </c>
    </row>
    <row r="32" spans="1:11" ht="12.75" customHeight="1">
      <c r="A32" s="375"/>
      <c r="B32" s="126"/>
      <c r="C32" s="127"/>
      <c r="D32" s="109">
        <v>2212</v>
      </c>
      <c r="E32" s="110">
        <v>5169</v>
      </c>
      <c r="F32" s="150">
        <v>38585005</v>
      </c>
      <c r="G32" s="149" t="s">
        <v>32</v>
      </c>
      <c r="H32" s="128">
        <v>0</v>
      </c>
      <c r="I32" s="147">
        <f>50*0.85</f>
        <v>42.5</v>
      </c>
      <c r="J32" s="115"/>
      <c r="K32" s="116">
        <f t="shared" si="0"/>
        <v>42.5</v>
      </c>
    </row>
    <row r="33" spans="1:11" ht="12.75" customHeight="1" thickBot="1">
      <c r="A33" s="375"/>
      <c r="B33" s="126"/>
      <c r="C33" s="131"/>
      <c r="D33" s="109">
        <v>6310</v>
      </c>
      <c r="E33" s="110">
        <v>5163</v>
      </c>
      <c r="F33" s="118"/>
      <c r="G33" s="33" t="s">
        <v>41</v>
      </c>
      <c r="H33" s="113">
        <v>0</v>
      </c>
      <c r="I33" s="128">
        <v>5</v>
      </c>
      <c r="J33" s="124"/>
      <c r="K33" s="116">
        <f t="shared" si="0"/>
        <v>5</v>
      </c>
    </row>
    <row r="34" spans="1:11" ht="12.75" customHeight="1">
      <c r="A34" s="375"/>
      <c r="B34" s="88" t="s">
        <v>4</v>
      </c>
      <c r="C34" s="89" t="s">
        <v>52</v>
      </c>
      <c r="D34" s="104"/>
      <c r="E34" s="105" t="s">
        <v>2</v>
      </c>
      <c r="F34" s="106"/>
      <c r="G34" s="30" t="s">
        <v>53</v>
      </c>
      <c r="H34" s="93">
        <f>SUM(H35:H44)</f>
        <v>0</v>
      </c>
      <c r="I34" s="93">
        <f>SUM(I35:I44)</f>
        <v>36230</v>
      </c>
      <c r="J34" s="93">
        <f>SUM(J35:J44)</f>
        <v>0</v>
      </c>
      <c r="K34" s="94">
        <f>SUM(K35:K44)</f>
        <v>36230</v>
      </c>
    </row>
    <row r="35" spans="1:11" ht="12.75" customHeight="1">
      <c r="A35" s="375"/>
      <c r="B35" s="107"/>
      <c r="C35" s="108"/>
      <c r="D35" s="109">
        <v>2212</v>
      </c>
      <c r="E35" s="110">
        <v>6121</v>
      </c>
      <c r="F35" s="111">
        <v>38100000</v>
      </c>
      <c r="G35" s="112" t="s">
        <v>125</v>
      </c>
      <c r="H35" s="128">
        <v>0</v>
      </c>
      <c r="I35" s="115">
        <v>2675</v>
      </c>
      <c r="J35" s="128"/>
      <c r="K35" s="116">
        <f aca="true" t="shared" si="1" ref="K35:K44">I35+J35</f>
        <v>2675</v>
      </c>
    </row>
    <row r="36" spans="1:11" ht="12.75" customHeight="1">
      <c r="A36" s="375"/>
      <c r="B36" s="117"/>
      <c r="C36" s="108"/>
      <c r="D36" s="109">
        <v>2212</v>
      </c>
      <c r="E36" s="110">
        <v>6121</v>
      </c>
      <c r="F36" s="118" t="s">
        <v>44</v>
      </c>
      <c r="G36" s="112" t="s">
        <v>125</v>
      </c>
      <c r="H36" s="128">
        <v>0</v>
      </c>
      <c r="I36" s="115">
        <f>2675-753.16</f>
        <v>1921.8400000000001</v>
      </c>
      <c r="J36" s="128"/>
      <c r="K36" s="116">
        <f t="shared" si="1"/>
        <v>1921.8400000000001</v>
      </c>
    </row>
    <row r="37" spans="1:11" ht="12.75" customHeight="1">
      <c r="A37" s="375"/>
      <c r="B37" s="117"/>
      <c r="C37" s="108"/>
      <c r="D37" s="109">
        <v>2212</v>
      </c>
      <c r="E37" s="110">
        <v>6121</v>
      </c>
      <c r="F37" s="118" t="s">
        <v>45</v>
      </c>
      <c r="G37" s="112" t="s">
        <v>125</v>
      </c>
      <c r="H37" s="128">
        <v>0</v>
      </c>
      <c r="I37" s="115">
        <f>30315-8535.76</f>
        <v>21779.239999999998</v>
      </c>
      <c r="J37" s="128"/>
      <c r="K37" s="116">
        <f t="shared" si="1"/>
        <v>21779.239999999998</v>
      </c>
    </row>
    <row r="38" spans="1:11" ht="12.75" customHeight="1">
      <c r="A38" s="375"/>
      <c r="B38" s="107"/>
      <c r="C38" s="108"/>
      <c r="D38" s="109">
        <v>2212</v>
      </c>
      <c r="E38" s="110">
        <v>6121</v>
      </c>
      <c r="F38" s="99" t="s">
        <v>46</v>
      </c>
      <c r="G38" s="112" t="s">
        <v>125</v>
      </c>
      <c r="H38" s="113">
        <v>0</v>
      </c>
      <c r="I38" s="143">
        <v>500</v>
      </c>
      <c r="J38" s="144"/>
      <c r="K38" s="116">
        <f>I38+J38</f>
        <v>500</v>
      </c>
    </row>
    <row r="39" spans="1:11" ht="12.75" customHeight="1">
      <c r="A39" s="375"/>
      <c r="B39" s="117"/>
      <c r="C39" s="108"/>
      <c r="D39" s="97">
        <v>2212</v>
      </c>
      <c r="E39" s="98">
        <v>5139</v>
      </c>
      <c r="F39" s="145">
        <v>38100000</v>
      </c>
      <c r="G39" s="146" t="s">
        <v>34</v>
      </c>
      <c r="H39" s="128">
        <v>0</v>
      </c>
      <c r="I39" s="115">
        <v>1.5</v>
      </c>
      <c r="J39" s="128"/>
      <c r="K39" s="116">
        <f t="shared" si="1"/>
        <v>1.5</v>
      </c>
    </row>
    <row r="40" spans="1:11" ht="12.75" customHeight="1">
      <c r="A40" s="375"/>
      <c r="B40" s="117"/>
      <c r="C40" s="108"/>
      <c r="D40" s="109">
        <v>2212</v>
      </c>
      <c r="E40" s="98">
        <v>5139</v>
      </c>
      <c r="F40" s="148">
        <v>38585005</v>
      </c>
      <c r="G40" s="146" t="s">
        <v>34</v>
      </c>
      <c r="H40" s="128">
        <v>0</v>
      </c>
      <c r="I40" s="115">
        <f>10*0.85</f>
        <v>8.5</v>
      </c>
      <c r="J40" s="128"/>
      <c r="K40" s="116">
        <f t="shared" si="1"/>
        <v>8.5</v>
      </c>
    </row>
    <row r="41" spans="1:11" ht="12.75" customHeight="1">
      <c r="A41" s="375"/>
      <c r="B41" s="117"/>
      <c r="C41" s="108"/>
      <c r="D41" s="109">
        <v>2212</v>
      </c>
      <c r="E41" s="98">
        <v>5169</v>
      </c>
      <c r="F41" s="111">
        <v>38100000</v>
      </c>
      <c r="G41" s="149" t="s">
        <v>32</v>
      </c>
      <c r="H41" s="128">
        <v>0</v>
      </c>
      <c r="I41" s="115">
        <v>7.5</v>
      </c>
      <c r="J41" s="128"/>
      <c r="K41" s="116">
        <f t="shared" si="1"/>
        <v>7.5</v>
      </c>
    </row>
    <row r="42" spans="1:11" ht="12.75" customHeight="1">
      <c r="A42" s="375"/>
      <c r="B42" s="117"/>
      <c r="C42" s="108"/>
      <c r="D42" s="109">
        <v>2212</v>
      </c>
      <c r="E42" s="98">
        <v>5169</v>
      </c>
      <c r="F42" s="148">
        <v>38585005</v>
      </c>
      <c r="G42" s="149" t="s">
        <v>32</v>
      </c>
      <c r="H42" s="128">
        <v>0</v>
      </c>
      <c r="I42" s="115">
        <f>50*0.85</f>
        <v>42.5</v>
      </c>
      <c r="J42" s="128"/>
      <c r="K42" s="116">
        <f t="shared" si="1"/>
        <v>42.5</v>
      </c>
    </row>
    <row r="43" spans="1:11" ht="12.75" customHeight="1">
      <c r="A43" s="375"/>
      <c r="B43" s="126"/>
      <c r="C43" s="131"/>
      <c r="D43" s="109">
        <v>6310</v>
      </c>
      <c r="E43" s="110">
        <v>5163</v>
      </c>
      <c r="F43" s="118"/>
      <c r="G43" s="33" t="s">
        <v>41</v>
      </c>
      <c r="H43" s="128">
        <v>0</v>
      </c>
      <c r="I43" s="113">
        <v>5</v>
      </c>
      <c r="J43" s="128"/>
      <c r="K43" s="116">
        <f t="shared" si="1"/>
        <v>5</v>
      </c>
    </row>
    <row r="44" spans="1:11" ht="12.75" customHeight="1" thickBot="1">
      <c r="A44" s="375"/>
      <c r="B44" s="95"/>
      <c r="C44" s="151"/>
      <c r="D44" s="97">
        <v>6402</v>
      </c>
      <c r="E44" s="152">
        <v>5368</v>
      </c>
      <c r="F44" s="153"/>
      <c r="G44" s="31" t="s">
        <v>47</v>
      </c>
      <c r="H44" s="102">
        <v>0</v>
      </c>
      <c r="I44" s="154">
        <v>9288.92</v>
      </c>
      <c r="J44" s="102"/>
      <c r="K44" s="116">
        <f t="shared" si="1"/>
        <v>9288.92</v>
      </c>
    </row>
    <row r="45" spans="1:11" ht="12.75" customHeight="1">
      <c r="A45" s="375"/>
      <c r="B45" s="155" t="s">
        <v>4</v>
      </c>
      <c r="C45" s="89" t="s">
        <v>54</v>
      </c>
      <c r="D45" s="104"/>
      <c r="E45" s="105" t="s">
        <v>2</v>
      </c>
      <c r="F45" s="106"/>
      <c r="G45" s="30" t="s">
        <v>55</v>
      </c>
      <c r="H45" s="93">
        <f>SUM(H46:H46)</f>
        <v>0</v>
      </c>
      <c r="I45" s="94">
        <f>SUM(I46:I46)</f>
        <v>181.7</v>
      </c>
      <c r="J45" s="94">
        <f>SUM(J46:J46)</f>
        <v>0</v>
      </c>
      <c r="K45" s="94">
        <f>SUM(K46:K46)</f>
        <v>181.7</v>
      </c>
    </row>
    <row r="46" spans="1:11" ht="12.75" customHeight="1" thickBot="1">
      <c r="A46" s="375"/>
      <c r="B46" s="156"/>
      <c r="C46" s="157"/>
      <c r="D46" s="137">
        <v>6402</v>
      </c>
      <c r="E46" s="158">
        <v>5368</v>
      </c>
      <c r="F46" s="139"/>
      <c r="G46" s="159" t="s">
        <v>47</v>
      </c>
      <c r="H46" s="125">
        <v>0</v>
      </c>
      <c r="I46" s="154">
        <v>181.7</v>
      </c>
      <c r="J46" s="160"/>
      <c r="K46" s="161">
        <f>I46+J46</f>
        <v>181.7</v>
      </c>
    </row>
    <row r="47" spans="1:11" ht="12.75" customHeight="1">
      <c r="A47" s="375"/>
      <c r="B47" s="162" t="s">
        <v>4</v>
      </c>
      <c r="C47" s="163" t="s">
        <v>56</v>
      </c>
      <c r="D47" s="164"/>
      <c r="E47" s="165" t="s">
        <v>2</v>
      </c>
      <c r="F47" s="166"/>
      <c r="G47" s="34" t="s">
        <v>57</v>
      </c>
      <c r="H47" s="167">
        <f>SUM(H48:H48)</f>
        <v>0</v>
      </c>
      <c r="I47" s="167">
        <f>SUM(I48:I48)</f>
        <v>2.17</v>
      </c>
      <c r="J47" s="168">
        <f>SUM(J48:J48)</f>
        <v>0</v>
      </c>
      <c r="K47" s="168">
        <f>SUM(K48:K48)</f>
        <v>2.17</v>
      </c>
    </row>
    <row r="48" spans="1:11" ht="12.75" customHeight="1" thickBot="1">
      <c r="A48" s="375"/>
      <c r="B48" s="95"/>
      <c r="C48" s="96"/>
      <c r="D48" s="97">
        <v>6409</v>
      </c>
      <c r="E48" s="98">
        <v>5363</v>
      </c>
      <c r="F48" s="99"/>
      <c r="G48" s="100" t="s">
        <v>70</v>
      </c>
      <c r="H48" s="101">
        <v>0</v>
      </c>
      <c r="I48" s="125">
        <v>2.17</v>
      </c>
      <c r="J48" s="125"/>
      <c r="K48" s="103">
        <f>I48+J48</f>
        <v>2.17</v>
      </c>
    </row>
    <row r="49" spans="1:11" ht="26.25" customHeight="1">
      <c r="A49" s="375"/>
      <c r="B49" s="88" t="s">
        <v>4</v>
      </c>
      <c r="C49" s="89" t="s">
        <v>58</v>
      </c>
      <c r="D49" s="104"/>
      <c r="E49" s="105" t="s">
        <v>2</v>
      </c>
      <c r="F49" s="106"/>
      <c r="G49" s="169" t="s">
        <v>59</v>
      </c>
      <c r="H49" s="93">
        <f>SUM(H50:H53)</f>
        <v>14521</v>
      </c>
      <c r="I49" s="94">
        <f>SUM(I50:I53)</f>
        <v>44688</v>
      </c>
      <c r="J49" s="93">
        <f>SUM(J50:J53)</f>
        <v>0</v>
      </c>
      <c r="K49" s="94">
        <f>SUM(K50:K53)</f>
        <v>44688</v>
      </c>
    </row>
    <row r="50" spans="1:11" ht="12.75" customHeight="1">
      <c r="A50" s="375"/>
      <c r="B50" s="107"/>
      <c r="C50" s="108"/>
      <c r="D50" s="109">
        <v>2212</v>
      </c>
      <c r="E50" s="110">
        <v>6121</v>
      </c>
      <c r="F50" s="111">
        <v>38100000</v>
      </c>
      <c r="G50" s="33" t="s">
        <v>125</v>
      </c>
      <c r="H50" s="128">
        <v>2177</v>
      </c>
      <c r="I50" s="113">
        <f>2177+3860</f>
        <v>6037</v>
      </c>
      <c r="J50" s="170"/>
      <c r="K50" s="116">
        <f>I50+J50</f>
        <v>6037</v>
      </c>
    </row>
    <row r="51" spans="1:11" ht="12.75" customHeight="1">
      <c r="A51" s="375"/>
      <c r="B51" s="117"/>
      <c r="C51" s="108"/>
      <c r="D51" s="97">
        <v>2212</v>
      </c>
      <c r="E51" s="98">
        <v>6121</v>
      </c>
      <c r="F51" s="118" t="s">
        <v>45</v>
      </c>
      <c r="G51" s="33" t="s">
        <v>125</v>
      </c>
      <c r="H51" s="140">
        <v>12339</v>
      </c>
      <c r="I51" s="101">
        <f>12339+21870</f>
        <v>34209</v>
      </c>
      <c r="J51" s="115"/>
      <c r="K51" s="116">
        <f>I51+J51</f>
        <v>34209</v>
      </c>
    </row>
    <row r="52" spans="1:11" ht="12.75" customHeight="1">
      <c r="A52" s="375"/>
      <c r="B52" s="107"/>
      <c r="C52" s="108"/>
      <c r="D52" s="109">
        <v>2212</v>
      </c>
      <c r="E52" s="110">
        <v>6121</v>
      </c>
      <c r="F52" s="99" t="s">
        <v>46</v>
      </c>
      <c r="G52" s="112" t="s">
        <v>125</v>
      </c>
      <c r="H52" s="113">
        <v>0</v>
      </c>
      <c r="I52" s="144">
        <f>3738+700</f>
        <v>4438</v>
      </c>
      <c r="J52" s="144"/>
      <c r="K52" s="116">
        <f>I52+J52</f>
        <v>4438</v>
      </c>
    </row>
    <row r="53" spans="1:11" ht="12.75" customHeight="1" thickBot="1">
      <c r="A53" s="375"/>
      <c r="B53" s="126"/>
      <c r="C53" s="131"/>
      <c r="D53" s="109">
        <v>6310</v>
      </c>
      <c r="E53" s="110">
        <v>5163</v>
      </c>
      <c r="F53" s="99" t="s">
        <v>46</v>
      </c>
      <c r="G53" s="33" t="s">
        <v>41</v>
      </c>
      <c r="H53" s="125">
        <v>5</v>
      </c>
      <c r="I53" s="124">
        <f>5+5-6</f>
        <v>4</v>
      </c>
      <c r="J53" s="160"/>
      <c r="K53" s="161">
        <f>I53+J53</f>
        <v>4</v>
      </c>
    </row>
    <row r="54" spans="1:11" ht="12.75" customHeight="1">
      <c r="A54" s="375"/>
      <c r="B54" s="155" t="s">
        <v>4</v>
      </c>
      <c r="C54" s="89" t="s">
        <v>74</v>
      </c>
      <c r="D54" s="104"/>
      <c r="E54" s="105" t="s">
        <v>2</v>
      </c>
      <c r="F54" s="106"/>
      <c r="G54" s="30" t="s">
        <v>75</v>
      </c>
      <c r="H54" s="93">
        <f>SUM(H55:H58)</f>
        <v>0</v>
      </c>
      <c r="I54" s="94">
        <f>SUM(I55:I58)</f>
        <v>32440</v>
      </c>
      <c r="J54" s="94">
        <f>SUM(J55:J58)</f>
        <v>0</v>
      </c>
      <c r="K54" s="94">
        <f>SUM(K55:K58)</f>
        <v>32440</v>
      </c>
    </row>
    <row r="55" spans="1:11" ht="12.75" customHeight="1">
      <c r="A55" s="375"/>
      <c r="B55" s="171"/>
      <c r="C55" s="108"/>
      <c r="D55" s="109">
        <v>2212</v>
      </c>
      <c r="E55" s="110">
        <v>6121</v>
      </c>
      <c r="F55" s="111">
        <v>38100000</v>
      </c>
      <c r="G55" s="112" t="s">
        <v>125</v>
      </c>
      <c r="H55" s="128">
        <v>0</v>
      </c>
      <c r="I55" s="113">
        <v>4850</v>
      </c>
      <c r="J55" s="172"/>
      <c r="K55" s="116">
        <f>I55+J55</f>
        <v>4850</v>
      </c>
    </row>
    <row r="56" spans="1:11" ht="12.75" customHeight="1">
      <c r="A56" s="375"/>
      <c r="B56" s="173"/>
      <c r="C56" s="108"/>
      <c r="D56" s="97">
        <v>2212</v>
      </c>
      <c r="E56" s="98">
        <v>6121</v>
      </c>
      <c r="F56" s="118" t="s">
        <v>45</v>
      </c>
      <c r="G56" s="112" t="s">
        <v>125</v>
      </c>
      <c r="H56" s="140">
        <v>0</v>
      </c>
      <c r="I56" s="101">
        <v>27485</v>
      </c>
      <c r="J56" s="172"/>
      <c r="K56" s="116">
        <f>I56+J56</f>
        <v>27485</v>
      </c>
    </row>
    <row r="57" spans="1:11" ht="12.75" customHeight="1">
      <c r="A57" s="375"/>
      <c r="B57" s="107"/>
      <c r="C57" s="108"/>
      <c r="D57" s="109">
        <v>2212</v>
      </c>
      <c r="E57" s="110">
        <v>6121</v>
      </c>
      <c r="F57" s="99" t="s">
        <v>46</v>
      </c>
      <c r="G57" s="112" t="s">
        <v>125</v>
      </c>
      <c r="H57" s="113">
        <v>0</v>
      </c>
      <c r="I57" s="144">
        <v>100</v>
      </c>
      <c r="J57" s="144"/>
      <c r="K57" s="116">
        <f>I57+J57</f>
        <v>100</v>
      </c>
    </row>
    <row r="58" spans="1:11" ht="12.75" customHeight="1" thickBot="1">
      <c r="A58" s="375"/>
      <c r="B58" s="174"/>
      <c r="C58" s="120"/>
      <c r="D58" s="121">
        <v>6310</v>
      </c>
      <c r="E58" s="122">
        <v>5163</v>
      </c>
      <c r="F58" s="123"/>
      <c r="G58" s="32" t="s">
        <v>41</v>
      </c>
      <c r="H58" s="125">
        <v>0</v>
      </c>
      <c r="I58" s="124">
        <v>5</v>
      </c>
      <c r="J58" s="172"/>
      <c r="K58" s="161">
        <f>I58+J58</f>
        <v>5</v>
      </c>
    </row>
    <row r="59" spans="1:11" ht="26.25" customHeight="1">
      <c r="A59" s="375"/>
      <c r="B59" s="88" t="s">
        <v>4</v>
      </c>
      <c r="C59" s="89" t="s">
        <v>126</v>
      </c>
      <c r="D59" s="104"/>
      <c r="E59" s="105" t="s">
        <v>2</v>
      </c>
      <c r="F59" s="106"/>
      <c r="G59" s="169" t="s">
        <v>127</v>
      </c>
      <c r="H59" s="93">
        <f>SUM(H60:H61)</f>
        <v>148</v>
      </c>
      <c r="I59" s="94">
        <f>SUM(I60:I61)</f>
        <v>148</v>
      </c>
      <c r="J59" s="94">
        <f>SUM(J60:J61)</f>
        <v>0</v>
      </c>
      <c r="K59" s="94">
        <f>SUM(K60:K61)</f>
        <v>148</v>
      </c>
    </row>
    <row r="60" spans="1:11" ht="12.75" customHeight="1">
      <c r="A60" s="375"/>
      <c r="B60" s="107"/>
      <c r="C60" s="108"/>
      <c r="D60" s="109">
        <v>2299</v>
      </c>
      <c r="E60" s="109">
        <v>5213</v>
      </c>
      <c r="F60" s="131">
        <v>38100000</v>
      </c>
      <c r="G60" s="112" t="s">
        <v>128</v>
      </c>
      <c r="H60" s="128">
        <v>40</v>
      </c>
      <c r="I60" s="115">
        <v>40</v>
      </c>
      <c r="J60" s="115"/>
      <c r="K60" s="116">
        <f aca="true" t="shared" si="2" ref="K60:K67">I60+J60</f>
        <v>40</v>
      </c>
    </row>
    <row r="61" spans="1:11" ht="12.75" customHeight="1" thickBot="1">
      <c r="A61" s="375"/>
      <c r="B61" s="117"/>
      <c r="C61" s="108"/>
      <c r="D61" s="109">
        <v>2299</v>
      </c>
      <c r="E61" s="109">
        <v>6313</v>
      </c>
      <c r="F61" s="131">
        <v>38100000</v>
      </c>
      <c r="G61" s="112" t="s">
        <v>129</v>
      </c>
      <c r="H61" s="140">
        <v>108</v>
      </c>
      <c r="I61" s="115">
        <v>108</v>
      </c>
      <c r="J61" s="115"/>
      <c r="K61" s="116">
        <f t="shared" si="2"/>
        <v>108</v>
      </c>
    </row>
    <row r="62" spans="1:11" ht="26.25" customHeight="1">
      <c r="A62" s="375"/>
      <c r="B62" s="155" t="s">
        <v>4</v>
      </c>
      <c r="C62" s="89" t="s">
        <v>130</v>
      </c>
      <c r="D62" s="104"/>
      <c r="E62" s="105" t="s">
        <v>2</v>
      </c>
      <c r="F62" s="106"/>
      <c r="G62" s="169" t="s">
        <v>131</v>
      </c>
      <c r="H62" s="93">
        <f>SUM(H63:H64)</f>
        <v>840</v>
      </c>
      <c r="I62" s="94">
        <f>SUM(I63:I64)</f>
        <v>8894</v>
      </c>
      <c r="J62" s="94">
        <f>SUM(J63:J64)</f>
        <v>0</v>
      </c>
      <c r="K62" s="94">
        <f>SUM(K63:K64)</f>
        <v>8894</v>
      </c>
    </row>
    <row r="63" spans="1:11" ht="12.75" customHeight="1">
      <c r="A63" s="375"/>
      <c r="B63" s="171"/>
      <c r="C63" s="108"/>
      <c r="D63" s="109">
        <v>2299</v>
      </c>
      <c r="E63" s="109">
        <v>5613</v>
      </c>
      <c r="F63" s="131">
        <v>38100000</v>
      </c>
      <c r="G63" s="112" t="s">
        <v>132</v>
      </c>
      <c r="H63" s="128">
        <v>225</v>
      </c>
      <c r="I63" s="115">
        <f>225+2162</f>
        <v>2387</v>
      </c>
      <c r="J63" s="115"/>
      <c r="K63" s="116">
        <f t="shared" si="2"/>
        <v>2387</v>
      </c>
    </row>
    <row r="64" spans="1:11" ht="12.75" customHeight="1" thickBot="1">
      <c r="A64" s="375"/>
      <c r="B64" s="156"/>
      <c r="C64" s="176"/>
      <c r="D64" s="121">
        <v>2299</v>
      </c>
      <c r="E64" s="121">
        <v>6413</v>
      </c>
      <c r="F64" s="120">
        <v>38100000</v>
      </c>
      <c r="G64" s="178" t="s">
        <v>133</v>
      </c>
      <c r="H64" s="125">
        <v>615</v>
      </c>
      <c r="I64" s="179">
        <f>615+5892</f>
        <v>6507</v>
      </c>
      <c r="J64" s="179"/>
      <c r="K64" s="161">
        <f t="shared" si="2"/>
        <v>6507</v>
      </c>
    </row>
    <row r="65" spans="1:11" ht="26.25" customHeight="1">
      <c r="A65" s="375"/>
      <c r="B65" s="155" t="s">
        <v>4</v>
      </c>
      <c r="C65" s="89" t="s">
        <v>134</v>
      </c>
      <c r="D65" s="104"/>
      <c r="E65" s="105" t="s">
        <v>2</v>
      </c>
      <c r="F65" s="106"/>
      <c r="G65" s="169" t="s">
        <v>135</v>
      </c>
      <c r="H65" s="93">
        <f>SUM(H66:H67)</f>
        <v>208</v>
      </c>
      <c r="I65" s="94">
        <f>SUM(I66:I67)</f>
        <v>2198</v>
      </c>
      <c r="J65" s="94">
        <f>SUM(J66:J67)</f>
        <v>0</v>
      </c>
      <c r="K65" s="94">
        <f>SUM(K66:K67)</f>
        <v>2198</v>
      </c>
    </row>
    <row r="66" spans="1:11" ht="12.75" customHeight="1">
      <c r="A66" s="375"/>
      <c r="B66" s="171"/>
      <c r="C66" s="108"/>
      <c r="D66" s="109">
        <v>2299</v>
      </c>
      <c r="E66" s="109">
        <v>5613</v>
      </c>
      <c r="F66" s="175" t="s">
        <v>46</v>
      </c>
      <c r="G66" s="112" t="s">
        <v>132</v>
      </c>
      <c r="H66" s="128">
        <v>56</v>
      </c>
      <c r="I66" s="115">
        <f>56+534</f>
        <v>590</v>
      </c>
      <c r="J66" s="115"/>
      <c r="K66" s="116">
        <f t="shared" si="2"/>
        <v>590</v>
      </c>
    </row>
    <row r="67" spans="1:11" ht="12.75" customHeight="1" thickBot="1">
      <c r="A67" s="375"/>
      <c r="B67" s="156"/>
      <c r="C67" s="176"/>
      <c r="D67" s="121">
        <v>2299</v>
      </c>
      <c r="E67" s="121">
        <v>6413</v>
      </c>
      <c r="F67" s="177" t="s">
        <v>46</v>
      </c>
      <c r="G67" s="178" t="s">
        <v>133</v>
      </c>
      <c r="H67" s="125">
        <v>152</v>
      </c>
      <c r="I67" s="179">
        <f>152+1456</f>
        <v>1608</v>
      </c>
      <c r="J67" s="179"/>
      <c r="K67" s="161">
        <f t="shared" si="2"/>
        <v>1608</v>
      </c>
    </row>
    <row r="68" spans="1:11" s="182" customFormat="1" ht="12" customHeight="1">
      <c r="A68" s="375"/>
      <c r="B68" s="180" t="s">
        <v>4</v>
      </c>
      <c r="C68" s="89" t="s">
        <v>136</v>
      </c>
      <c r="D68" s="104"/>
      <c r="E68" s="105" t="s">
        <v>2</v>
      </c>
      <c r="F68" s="106"/>
      <c r="G68" s="181" t="s">
        <v>137</v>
      </c>
      <c r="H68" s="93">
        <f>SUM(H69:H70)</f>
        <v>0</v>
      </c>
      <c r="I68" s="94">
        <f>SUM(I69:I70)</f>
        <v>5351</v>
      </c>
      <c r="J68" s="94">
        <f>SUM(J69:J70)</f>
        <v>0</v>
      </c>
      <c r="K68" s="94">
        <f>SUM(K69:K70)</f>
        <v>5351</v>
      </c>
    </row>
    <row r="69" spans="1:11" s="182" customFormat="1" ht="12" customHeight="1">
      <c r="A69" s="375"/>
      <c r="B69" s="183"/>
      <c r="C69" s="127"/>
      <c r="D69" s="109">
        <v>2212</v>
      </c>
      <c r="E69" s="110">
        <v>6121</v>
      </c>
      <c r="F69" s="118" t="s">
        <v>45</v>
      </c>
      <c r="G69" s="184" t="s">
        <v>125</v>
      </c>
      <c r="H69" s="113">
        <v>0</v>
      </c>
      <c r="I69" s="113">
        <f>1350+4000</f>
        <v>5350</v>
      </c>
      <c r="J69" s="113"/>
      <c r="K69" s="113">
        <f>I69+J69</f>
        <v>5350</v>
      </c>
    </row>
    <row r="70" spans="1:11" ht="12.75" customHeight="1" thickBot="1">
      <c r="A70" s="375"/>
      <c r="B70" s="156"/>
      <c r="C70" s="120"/>
      <c r="D70" s="121">
        <v>6310</v>
      </c>
      <c r="E70" s="122">
        <v>5163</v>
      </c>
      <c r="F70" s="123" t="s">
        <v>46</v>
      </c>
      <c r="G70" s="32" t="s">
        <v>41</v>
      </c>
      <c r="H70" s="125">
        <v>0</v>
      </c>
      <c r="I70" s="124">
        <v>1</v>
      </c>
      <c r="J70" s="124"/>
      <c r="K70" s="161">
        <f>I70+J70</f>
        <v>1</v>
      </c>
    </row>
    <row r="71" spans="1:11" s="182" customFormat="1" ht="12" customHeight="1">
      <c r="A71" s="375"/>
      <c r="B71" s="180" t="s">
        <v>4</v>
      </c>
      <c r="C71" s="89" t="s">
        <v>138</v>
      </c>
      <c r="D71" s="104"/>
      <c r="E71" s="105" t="s">
        <v>2</v>
      </c>
      <c r="F71" s="106"/>
      <c r="G71" s="181" t="s">
        <v>139</v>
      </c>
      <c r="H71" s="93">
        <f>SUM(H72:H73)</f>
        <v>0</v>
      </c>
      <c r="I71" s="94">
        <f>SUM(I72:I73)</f>
        <v>3351</v>
      </c>
      <c r="J71" s="94">
        <f>SUM(J72:J73)</f>
        <v>0</v>
      </c>
      <c r="K71" s="94">
        <f>SUM(K72:K73)</f>
        <v>3351</v>
      </c>
    </row>
    <row r="72" spans="1:11" s="182" customFormat="1" ht="12" customHeight="1">
      <c r="A72" s="375"/>
      <c r="B72" s="183"/>
      <c r="C72" s="127"/>
      <c r="D72" s="109">
        <v>2212</v>
      </c>
      <c r="E72" s="110">
        <v>6121</v>
      </c>
      <c r="F72" s="118" t="s">
        <v>45</v>
      </c>
      <c r="G72" s="184" t="s">
        <v>125</v>
      </c>
      <c r="H72" s="113">
        <v>0</v>
      </c>
      <c r="I72" s="113">
        <f>1350+2000</f>
        <v>3350</v>
      </c>
      <c r="J72" s="113"/>
      <c r="K72" s="113">
        <f>I72+J72</f>
        <v>3350</v>
      </c>
    </row>
    <row r="73" spans="1:11" ht="12.75" customHeight="1" thickBot="1">
      <c r="A73" s="375"/>
      <c r="B73" s="185"/>
      <c r="C73" s="186"/>
      <c r="D73" s="137">
        <v>6310</v>
      </c>
      <c r="E73" s="138">
        <v>5163</v>
      </c>
      <c r="F73" s="187" t="s">
        <v>46</v>
      </c>
      <c r="G73" s="159" t="s">
        <v>41</v>
      </c>
      <c r="H73" s="102">
        <v>0</v>
      </c>
      <c r="I73" s="188">
        <v>1</v>
      </c>
      <c r="J73" s="188"/>
      <c r="K73" s="189">
        <f>I73+J73</f>
        <v>1</v>
      </c>
    </row>
    <row r="74" spans="1:11" s="182" customFormat="1" ht="12" customHeight="1">
      <c r="A74" s="375"/>
      <c r="B74" s="180" t="s">
        <v>4</v>
      </c>
      <c r="C74" s="89" t="s">
        <v>140</v>
      </c>
      <c r="D74" s="104"/>
      <c r="E74" s="105" t="s">
        <v>2</v>
      </c>
      <c r="F74" s="106"/>
      <c r="G74" s="181" t="s">
        <v>141</v>
      </c>
      <c r="H74" s="93">
        <f>SUM(H75:H77)</f>
        <v>0</v>
      </c>
      <c r="I74" s="94">
        <f>SUM(I75:I77)</f>
        <v>19501</v>
      </c>
      <c r="J74" s="93">
        <f>SUM(J75:J77)</f>
        <v>0</v>
      </c>
      <c r="K74" s="94">
        <f>SUM(K75:K77)</f>
        <v>19501</v>
      </c>
    </row>
    <row r="75" spans="1:11" ht="12.75" customHeight="1">
      <c r="A75" s="375"/>
      <c r="B75" s="107"/>
      <c r="C75" s="108"/>
      <c r="D75" s="109">
        <v>2212</v>
      </c>
      <c r="E75" s="110">
        <v>6121</v>
      </c>
      <c r="F75" s="175" t="s">
        <v>46</v>
      </c>
      <c r="G75" s="112" t="s">
        <v>125</v>
      </c>
      <c r="H75" s="113">
        <v>0</v>
      </c>
      <c r="I75" s="114">
        <v>1500</v>
      </c>
      <c r="J75" s="115"/>
      <c r="K75" s="116">
        <f>I75+J75</f>
        <v>1500</v>
      </c>
    </row>
    <row r="76" spans="1:12" s="182" customFormat="1" ht="12" customHeight="1">
      <c r="A76" s="375"/>
      <c r="B76" s="190"/>
      <c r="C76" s="108"/>
      <c r="D76" s="109">
        <v>2212</v>
      </c>
      <c r="E76" s="110">
        <v>6121</v>
      </c>
      <c r="F76" s="118" t="s">
        <v>45</v>
      </c>
      <c r="G76" s="191" t="s">
        <v>125</v>
      </c>
      <c r="H76" s="113">
        <v>0</v>
      </c>
      <c r="I76" s="113">
        <f>2000+8000+21000-13000</f>
        <v>18000</v>
      </c>
      <c r="J76" s="113"/>
      <c r="K76" s="101">
        <f>I76+J76</f>
        <v>18000</v>
      </c>
      <c r="L76" s="192"/>
    </row>
    <row r="77" spans="1:11" ht="12.75" customHeight="1" thickBot="1">
      <c r="A77" s="375"/>
      <c r="B77" s="185"/>
      <c r="C77" s="186"/>
      <c r="D77" s="137">
        <v>6310</v>
      </c>
      <c r="E77" s="138">
        <v>5163</v>
      </c>
      <c r="F77" s="187" t="s">
        <v>46</v>
      </c>
      <c r="G77" s="159" t="s">
        <v>41</v>
      </c>
      <c r="H77" s="102">
        <v>0</v>
      </c>
      <c r="I77" s="188">
        <v>1</v>
      </c>
      <c r="J77" s="188"/>
      <c r="K77" s="189">
        <f>I77+J77</f>
        <v>1</v>
      </c>
    </row>
    <row r="78" spans="1:11" s="182" customFormat="1" ht="12" customHeight="1">
      <c r="A78" s="375"/>
      <c r="B78" s="180" t="s">
        <v>4</v>
      </c>
      <c r="C78" s="89" t="s">
        <v>142</v>
      </c>
      <c r="D78" s="104"/>
      <c r="E78" s="105" t="s">
        <v>2</v>
      </c>
      <c r="F78" s="106"/>
      <c r="G78" s="181" t="s">
        <v>143</v>
      </c>
      <c r="H78" s="93">
        <f>SUM(H79:H80)</f>
        <v>0</v>
      </c>
      <c r="I78" s="94">
        <f>SUM(I79:I80)</f>
        <v>1301</v>
      </c>
      <c r="J78" s="94">
        <f>SUM(J79:J80)</f>
        <v>0</v>
      </c>
      <c r="K78" s="94">
        <f>SUM(K79:K80)</f>
        <v>1301</v>
      </c>
    </row>
    <row r="79" spans="1:11" s="182" customFormat="1" ht="12" customHeight="1">
      <c r="A79" s="375"/>
      <c r="B79" s="183"/>
      <c r="C79" s="127"/>
      <c r="D79" s="109">
        <v>2212</v>
      </c>
      <c r="E79" s="110">
        <v>6121</v>
      </c>
      <c r="F79" s="118" t="s">
        <v>45</v>
      </c>
      <c r="G79" s="184" t="s">
        <v>125</v>
      </c>
      <c r="H79" s="113">
        <v>0</v>
      </c>
      <c r="I79" s="113">
        <v>1300</v>
      </c>
      <c r="J79" s="113"/>
      <c r="K79" s="113">
        <f>I79+J79</f>
        <v>1300</v>
      </c>
    </row>
    <row r="80" spans="1:11" ht="12.75" customHeight="1" thickBot="1">
      <c r="A80" s="375"/>
      <c r="B80" s="185"/>
      <c r="C80" s="186"/>
      <c r="D80" s="137">
        <v>6310</v>
      </c>
      <c r="E80" s="138">
        <v>5163</v>
      </c>
      <c r="F80" s="187" t="s">
        <v>46</v>
      </c>
      <c r="G80" s="159" t="s">
        <v>41</v>
      </c>
      <c r="H80" s="102">
        <v>0</v>
      </c>
      <c r="I80" s="188">
        <v>1</v>
      </c>
      <c r="J80" s="188"/>
      <c r="K80" s="189">
        <f>I80+J80</f>
        <v>1</v>
      </c>
    </row>
    <row r="81" spans="1:11" s="182" customFormat="1" ht="12" customHeight="1">
      <c r="A81" s="375"/>
      <c r="B81" s="180" t="s">
        <v>4</v>
      </c>
      <c r="C81" s="89" t="s">
        <v>144</v>
      </c>
      <c r="D81" s="104"/>
      <c r="E81" s="105" t="s">
        <v>2</v>
      </c>
      <c r="F81" s="106"/>
      <c r="G81" s="181" t="s">
        <v>145</v>
      </c>
      <c r="H81" s="93">
        <f>SUM(H82:H83)</f>
        <v>0</v>
      </c>
      <c r="I81" s="94">
        <f>SUM(I82:I83)</f>
        <v>10001</v>
      </c>
      <c r="J81" s="94">
        <f>SUM(J82:J83)</f>
        <v>0</v>
      </c>
      <c r="K81" s="94">
        <f>SUM(K82:K83)</f>
        <v>10001</v>
      </c>
    </row>
    <row r="82" spans="1:11" s="182" customFormat="1" ht="12" customHeight="1">
      <c r="A82" s="375"/>
      <c r="B82" s="183"/>
      <c r="C82" s="127"/>
      <c r="D82" s="109">
        <v>2212</v>
      </c>
      <c r="E82" s="110">
        <v>6121</v>
      </c>
      <c r="F82" s="118" t="s">
        <v>45</v>
      </c>
      <c r="G82" s="184" t="s">
        <v>125</v>
      </c>
      <c r="H82" s="113">
        <v>0</v>
      </c>
      <c r="I82" s="113">
        <f>2000+8000</f>
        <v>10000</v>
      </c>
      <c r="J82" s="113"/>
      <c r="K82" s="113">
        <f>I82+J82</f>
        <v>10000</v>
      </c>
    </row>
    <row r="83" spans="1:11" ht="12.75" customHeight="1" thickBot="1">
      <c r="A83" s="375"/>
      <c r="B83" s="185"/>
      <c r="C83" s="186"/>
      <c r="D83" s="137">
        <v>6310</v>
      </c>
      <c r="E83" s="138">
        <v>5163</v>
      </c>
      <c r="F83" s="187" t="s">
        <v>46</v>
      </c>
      <c r="G83" s="159" t="s">
        <v>41</v>
      </c>
      <c r="H83" s="102">
        <v>0</v>
      </c>
      <c r="I83" s="188">
        <v>1</v>
      </c>
      <c r="J83" s="188"/>
      <c r="K83" s="189">
        <f>I83+J83</f>
        <v>1</v>
      </c>
    </row>
    <row r="84" spans="1:11" s="182" customFormat="1" ht="12" customHeight="1">
      <c r="A84" s="375"/>
      <c r="B84" s="193" t="s">
        <v>4</v>
      </c>
      <c r="C84" s="163" t="s">
        <v>146</v>
      </c>
      <c r="D84" s="164"/>
      <c r="E84" s="165" t="s">
        <v>2</v>
      </c>
      <c r="F84" s="166"/>
      <c r="G84" s="194" t="s">
        <v>147</v>
      </c>
      <c r="H84" s="93">
        <f>SUM(H85:H86)</f>
        <v>0</v>
      </c>
      <c r="I84" s="94">
        <f>SUM(I85:I86)</f>
        <v>10001</v>
      </c>
      <c r="J84" s="94">
        <f>SUM(J85:J86)</f>
        <v>0</v>
      </c>
      <c r="K84" s="94">
        <f>SUM(K85:K86)</f>
        <v>10001</v>
      </c>
    </row>
    <row r="85" spans="1:11" s="182" customFormat="1" ht="11.25" customHeight="1">
      <c r="A85" s="375"/>
      <c r="B85" s="190"/>
      <c r="C85" s="108"/>
      <c r="D85" s="109">
        <v>2212</v>
      </c>
      <c r="E85" s="110">
        <v>6121</v>
      </c>
      <c r="F85" s="118" t="s">
        <v>45</v>
      </c>
      <c r="G85" s="191" t="s">
        <v>125</v>
      </c>
      <c r="H85" s="113">
        <v>0</v>
      </c>
      <c r="I85" s="113">
        <f>2000+8000</f>
        <v>10000</v>
      </c>
      <c r="J85" s="113"/>
      <c r="K85" s="101">
        <f>I85+J85</f>
        <v>10000</v>
      </c>
    </row>
    <row r="86" spans="1:11" ht="12.75" customHeight="1" thickBot="1">
      <c r="A86" s="375"/>
      <c r="B86" s="156"/>
      <c r="C86" s="120"/>
      <c r="D86" s="121">
        <v>6310</v>
      </c>
      <c r="E86" s="122">
        <v>5163</v>
      </c>
      <c r="F86" s="123" t="s">
        <v>46</v>
      </c>
      <c r="G86" s="32" t="s">
        <v>41</v>
      </c>
      <c r="H86" s="125">
        <v>0</v>
      </c>
      <c r="I86" s="124">
        <v>1</v>
      </c>
      <c r="J86" s="124"/>
      <c r="K86" s="161">
        <f>I86+J86</f>
        <v>1</v>
      </c>
    </row>
    <row r="87" spans="1:11" s="182" customFormat="1" ht="12" customHeight="1">
      <c r="A87" s="375"/>
      <c r="B87" s="180" t="s">
        <v>4</v>
      </c>
      <c r="C87" s="89" t="s">
        <v>148</v>
      </c>
      <c r="D87" s="104"/>
      <c r="E87" s="105" t="s">
        <v>2</v>
      </c>
      <c r="F87" s="106"/>
      <c r="G87" s="181" t="s">
        <v>149</v>
      </c>
      <c r="H87" s="94">
        <f>SUM(H88:H88)</f>
        <v>0</v>
      </c>
      <c r="I87" s="232">
        <f>SUM(I88:I88)</f>
        <v>0.0009999999997489795</v>
      </c>
      <c r="J87" s="94">
        <f>SUM(J88:J88)</f>
        <v>0</v>
      </c>
      <c r="K87" s="94">
        <f>SUM(K88:K88)</f>
        <v>0.0009999999997489795</v>
      </c>
    </row>
    <row r="88" spans="1:11" s="182" customFormat="1" ht="12" customHeight="1" thickBot="1">
      <c r="A88" s="375"/>
      <c r="B88" s="195"/>
      <c r="C88" s="176"/>
      <c r="D88" s="121">
        <v>2212</v>
      </c>
      <c r="E88" s="122">
        <v>5901</v>
      </c>
      <c r="F88" s="123" t="s">
        <v>46</v>
      </c>
      <c r="G88" s="196" t="s">
        <v>150</v>
      </c>
      <c r="H88" s="124">
        <v>0</v>
      </c>
      <c r="I88" s="234">
        <f>7000+8533.57-15007.509-526.06</f>
        <v>0.0009999999997489795</v>
      </c>
      <c r="J88" s="124"/>
      <c r="K88" s="124">
        <f>I88+J88</f>
        <v>0.0009999999997489795</v>
      </c>
    </row>
    <row r="89" spans="1:11" s="182" customFormat="1" ht="12" customHeight="1">
      <c r="A89" s="375"/>
      <c r="B89" s="180" t="s">
        <v>4</v>
      </c>
      <c r="C89" s="89" t="s">
        <v>151</v>
      </c>
      <c r="D89" s="104"/>
      <c r="E89" s="105" t="s">
        <v>2</v>
      </c>
      <c r="F89" s="106"/>
      <c r="G89" s="181" t="s">
        <v>152</v>
      </c>
      <c r="H89" s="168">
        <f>SUM(H90:H90)</f>
        <v>0</v>
      </c>
      <c r="I89" s="232">
        <f>SUM(I90:I90)</f>
        <v>1386.41</v>
      </c>
      <c r="J89" s="168">
        <f>SUM(J90:J90)</f>
        <v>0</v>
      </c>
      <c r="K89" s="168">
        <f>SUM(K90:K90)</f>
        <v>1386.41</v>
      </c>
    </row>
    <row r="90" spans="1:11" s="182" customFormat="1" ht="12" customHeight="1" thickBot="1">
      <c r="A90" s="375"/>
      <c r="B90" s="197"/>
      <c r="C90" s="157"/>
      <c r="D90" s="121">
        <v>2212</v>
      </c>
      <c r="E90" s="122">
        <v>5901</v>
      </c>
      <c r="F90" s="123" t="s">
        <v>46</v>
      </c>
      <c r="G90" s="196" t="s">
        <v>150</v>
      </c>
      <c r="H90" s="124">
        <v>0</v>
      </c>
      <c r="I90" s="233">
        <f>3000-1613.59</f>
        <v>1386.41</v>
      </c>
      <c r="J90" s="124"/>
      <c r="K90" s="188">
        <f>I90+J90</f>
        <v>1386.41</v>
      </c>
    </row>
    <row r="91" spans="1:11" s="182" customFormat="1" ht="12" customHeight="1">
      <c r="A91" s="375"/>
      <c r="B91" s="180" t="s">
        <v>4</v>
      </c>
      <c r="C91" s="89" t="s">
        <v>153</v>
      </c>
      <c r="D91" s="104"/>
      <c r="E91" s="105" t="s">
        <v>2</v>
      </c>
      <c r="F91" s="106"/>
      <c r="G91" s="181" t="s">
        <v>154</v>
      </c>
      <c r="H91" s="94">
        <f>SUM(H92:H94)</f>
        <v>0</v>
      </c>
      <c r="I91" s="94">
        <f>SUM(I92:I94)</f>
        <v>5000</v>
      </c>
      <c r="J91" s="94">
        <f>SUM(J92:J94)</f>
        <v>0</v>
      </c>
      <c r="K91" s="94">
        <f>SUM(K92:K94)</f>
        <v>5000</v>
      </c>
    </row>
    <row r="92" spans="1:11" s="182" customFormat="1" ht="12" customHeight="1">
      <c r="A92" s="375"/>
      <c r="B92" s="183"/>
      <c r="C92" s="131"/>
      <c r="D92" s="109">
        <v>2212</v>
      </c>
      <c r="E92" s="110">
        <v>6351</v>
      </c>
      <c r="F92" s="118" t="s">
        <v>155</v>
      </c>
      <c r="G92" s="198" t="s">
        <v>35</v>
      </c>
      <c r="H92" s="113">
        <v>0</v>
      </c>
      <c r="I92" s="113">
        <v>0</v>
      </c>
      <c r="J92" s="113"/>
      <c r="K92" s="116">
        <f>I92+J92</f>
        <v>0</v>
      </c>
    </row>
    <row r="93" spans="1:11" s="182" customFormat="1" ht="12" customHeight="1">
      <c r="A93" s="375"/>
      <c r="B93" s="190"/>
      <c r="C93" s="151"/>
      <c r="D93" s="97">
        <v>2212</v>
      </c>
      <c r="E93" s="98">
        <v>6356</v>
      </c>
      <c r="F93" s="99" t="s">
        <v>156</v>
      </c>
      <c r="G93" s="198" t="s">
        <v>157</v>
      </c>
      <c r="H93" s="101">
        <v>0</v>
      </c>
      <c r="I93" s="101">
        <v>0</v>
      </c>
      <c r="J93" s="101"/>
      <c r="K93" s="116">
        <f>I93+J93</f>
        <v>0</v>
      </c>
    </row>
    <row r="94" spans="1:11" s="182" customFormat="1" ht="12" customHeight="1" thickBot="1">
      <c r="A94" s="375"/>
      <c r="B94" s="197"/>
      <c r="C94" s="157"/>
      <c r="D94" s="137">
        <v>2212</v>
      </c>
      <c r="E94" s="138">
        <v>6356</v>
      </c>
      <c r="F94" s="187" t="s">
        <v>158</v>
      </c>
      <c r="G94" s="199" t="s">
        <v>157</v>
      </c>
      <c r="H94" s="188">
        <v>0</v>
      </c>
      <c r="I94" s="188">
        <v>5000</v>
      </c>
      <c r="J94" s="188"/>
      <c r="K94" s="188">
        <f>I94+J94</f>
        <v>5000</v>
      </c>
    </row>
    <row r="95" spans="1:11" s="182" customFormat="1" ht="12" customHeight="1">
      <c r="A95" s="375"/>
      <c r="B95" s="180" t="s">
        <v>4</v>
      </c>
      <c r="C95" s="89" t="s">
        <v>159</v>
      </c>
      <c r="D95" s="104"/>
      <c r="E95" s="105" t="s">
        <v>2</v>
      </c>
      <c r="F95" s="106"/>
      <c r="G95" s="181" t="s">
        <v>160</v>
      </c>
      <c r="H95" s="94">
        <f>SUM(H96:H96)</f>
        <v>0</v>
      </c>
      <c r="I95" s="200">
        <f>SUM(I96:I96)</f>
        <v>264.385</v>
      </c>
      <c r="J95" s="168">
        <f>SUM(J96:J96)</f>
        <v>0</v>
      </c>
      <c r="K95" s="94">
        <f>SUM(K96:K96)</f>
        <v>264.385</v>
      </c>
    </row>
    <row r="96" spans="1:11" s="182" customFormat="1" ht="12" customHeight="1" thickBot="1">
      <c r="A96" s="375"/>
      <c r="B96" s="197"/>
      <c r="C96" s="157"/>
      <c r="D96" s="121">
        <v>2212</v>
      </c>
      <c r="E96" s="122">
        <v>5169</v>
      </c>
      <c r="F96" s="177" t="s">
        <v>46</v>
      </c>
      <c r="G96" s="201" t="s">
        <v>32</v>
      </c>
      <c r="H96" s="124">
        <v>0</v>
      </c>
      <c r="I96" s="202">
        <v>264.385</v>
      </c>
      <c r="J96" s="124"/>
      <c r="K96" s="188">
        <f>I96+J96</f>
        <v>264.385</v>
      </c>
    </row>
    <row r="97" spans="1:11" s="182" customFormat="1" ht="12" customHeight="1">
      <c r="A97" s="375"/>
      <c r="B97" s="180" t="s">
        <v>4</v>
      </c>
      <c r="C97" s="89" t="s">
        <v>161</v>
      </c>
      <c r="D97" s="104"/>
      <c r="E97" s="105" t="s">
        <v>2</v>
      </c>
      <c r="F97" s="106"/>
      <c r="G97" s="181" t="s">
        <v>162</v>
      </c>
      <c r="H97" s="94">
        <f>SUM(H98:H98)</f>
        <v>0</v>
      </c>
      <c r="I97" s="200">
        <f>SUM(I98:I98)</f>
        <v>554.785</v>
      </c>
      <c r="J97" s="168">
        <f>SUM(J98:J98)</f>
        <v>0</v>
      </c>
      <c r="K97" s="94">
        <f>SUM(K98:K98)</f>
        <v>554.785</v>
      </c>
    </row>
    <row r="98" spans="1:11" s="182" customFormat="1" ht="12" customHeight="1" thickBot="1">
      <c r="A98" s="375"/>
      <c r="B98" s="197"/>
      <c r="C98" s="157"/>
      <c r="D98" s="121">
        <v>2212</v>
      </c>
      <c r="E98" s="122">
        <v>5169</v>
      </c>
      <c r="F98" s="177" t="s">
        <v>46</v>
      </c>
      <c r="G98" s="201" t="s">
        <v>32</v>
      </c>
      <c r="H98" s="124">
        <v>0</v>
      </c>
      <c r="I98" s="202">
        <v>554.785</v>
      </c>
      <c r="J98" s="124"/>
      <c r="K98" s="188">
        <f>I98+J98</f>
        <v>554.785</v>
      </c>
    </row>
    <row r="99" spans="1:11" s="182" customFormat="1" ht="12" customHeight="1">
      <c r="A99" s="375"/>
      <c r="B99" s="180" t="s">
        <v>4</v>
      </c>
      <c r="C99" s="89" t="s">
        <v>163</v>
      </c>
      <c r="D99" s="104"/>
      <c r="E99" s="105" t="s">
        <v>2</v>
      </c>
      <c r="F99" s="106"/>
      <c r="G99" s="181" t="s">
        <v>164</v>
      </c>
      <c r="H99" s="94">
        <f>SUM(H100:H100)</f>
        <v>0</v>
      </c>
      <c r="I99" s="200">
        <f>SUM(I100:I100)</f>
        <v>769.56</v>
      </c>
      <c r="J99" s="168">
        <f>SUM(J100:J100)</f>
        <v>0</v>
      </c>
      <c r="K99" s="94">
        <f>SUM(K100:K100)</f>
        <v>769.56</v>
      </c>
    </row>
    <row r="100" spans="1:11" s="182" customFormat="1" ht="12" customHeight="1" thickBot="1">
      <c r="A100" s="375"/>
      <c r="B100" s="197"/>
      <c r="C100" s="157"/>
      <c r="D100" s="121">
        <v>2212</v>
      </c>
      <c r="E100" s="122">
        <v>5169</v>
      </c>
      <c r="F100" s="177" t="s">
        <v>46</v>
      </c>
      <c r="G100" s="201" t="s">
        <v>32</v>
      </c>
      <c r="H100" s="124">
        <v>0</v>
      </c>
      <c r="I100" s="202">
        <v>769.56</v>
      </c>
      <c r="J100" s="124"/>
      <c r="K100" s="188">
        <f>I100+J100</f>
        <v>769.56</v>
      </c>
    </row>
    <row r="101" spans="1:11" s="182" customFormat="1" ht="12" customHeight="1">
      <c r="A101" s="375"/>
      <c r="B101" s="180" t="s">
        <v>4</v>
      </c>
      <c r="C101" s="89" t="s">
        <v>165</v>
      </c>
      <c r="D101" s="104"/>
      <c r="E101" s="105" t="s">
        <v>2</v>
      </c>
      <c r="F101" s="106"/>
      <c r="G101" s="181" t="s">
        <v>166</v>
      </c>
      <c r="H101" s="94">
        <f>SUM(H102:H102)</f>
        <v>0</v>
      </c>
      <c r="I101" s="200">
        <f>SUM(I102:I102)</f>
        <v>99.22</v>
      </c>
      <c r="J101" s="168">
        <f>SUM(J102:J102)</f>
        <v>0</v>
      </c>
      <c r="K101" s="94">
        <f>SUM(K102:K102)</f>
        <v>99.22</v>
      </c>
    </row>
    <row r="102" spans="1:11" s="182" customFormat="1" ht="12" customHeight="1" thickBot="1">
      <c r="A102" s="375"/>
      <c r="B102" s="197"/>
      <c r="C102" s="157"/>
      <c r="D102" s="121">
        <v>2212</v>
      </c>
      <c r="E102" s="122">
        <v>5169</v>
      </c>
      <c r="F102" s="177" t="s">
        <v>46</v>
      </c>
      <c r="G102" s="201" t="s">
        <v>32</v>
      </c>
      <c r="H102" s="124">
        <v>0</v>
      </c>
      <c r="I102" s="202">
        <v>99.22</v>
      </c>
      <c r="J102" s="124"/>
      <c r="K102" s="188">
        <f>I102+J102</f>
        <v>99.22</v>
      </c>
    </row>
    <row r="103" spans="1:11" s="182" customFormat="1" ht="12" customHeight="1">
      <c r="A103" s="375"/>
      <c r="B103" s="180" t="s">
        <v>4</v>
      </c>
      <c r="C103" s="89" t="s">
        <v>167</v>
      </c>
      <c r="D103" s="104"/>
      <c r="E103" s="105" t="s">
        <v>2</v>
      </c>
      <c r="F103" s="106"/>
      <c r="G103" s="181" t="s">
        <v>168</v>
      </c>
      <c r="H103" s="94">
        <f>SUM(H104:H104)</f>
        <v>0</v>
      </c>
      <c r="I103" s="200">
        <f>SUM(I104:I104)</f>
        <v>531.19</v>
      </c>
      <c r="J103" s="168">
        <f>SUM(J104:J104)</f>
        <v>0</v>
      </c>
      <c r="K103" s="94">
        <f>SUM(K104:K104)</f>
        <v>531.19</v>
      </c>
    </row>
    <row r="104" spans="1:11" s="182" customFormat="1" ht="12" customHeight="1" thickBot="1">
      <c r="A104" s="375"/>
      <c r="B104" s="197"/>
      <c r="C104" s="157"/>
      <c r="D104" s="121">
        <v>2212</v>
      </c>
      <c r="E104" s="122">
        <v>5169</v>
      </c>
      <c r="F104" s="177" t="s">
        <v>46</v>
      </c>
      <c r="G104" s="201" t="s">
        <v>32</v>
      </c>
      <c r="H104" s="124">
        <v>0</v>
      </c>
      <c r="I104" s="202">
        <v>531.19</v>
      </c>
      <c r="J104" s="124"/>
      <c r="K104" s="188">
        <f>I104+J104</f>
        <v>531.19</v>
      </c>
    </row>
    <row r="105" spans="1:11" s="182" customFormat="1" ht="12" customHeight="1">
      <c r="A105" s="375"/>
      <c r="B105" s="180" t="s">
        <v>4</v>
      </c>
      <c r="C105" s="89" t="s">
        <v>169</v>
      </c>
      <c r="D105" s="104"/>
      <c r="E105" s="105" t="s">
        <v>2</v>
      </c>
      <c r="F105" s="106"/>
      <c r="G105" s="181" t="s">
        <v>170</v>
      </c>
      <c r="H105" s="94">
        <f>SUM(H106:H106)</f>
        <v>0</v>
      </c>
      <c r="I105" s="200">
        <f>SUM(I106:I106)</f>
        <v>598.95</v>
      </c>
      <c r="J105" s="168">
        <f>SUM(J106:J106)</f>
        <v>0</v>
      </c>
      <c r="K105" s="94">
        <f>SUM(K106:K106)</f>
        <v>598.95</v>
      </c>
    </row>
    <row r="106" spans="1:11" s="182" customFormat="1" ht="12" customHeight="1" thickBot="1">
      <c r="A106" s="375"/>
      <c r="B106" s="197"/>
      <c r="C106" s="157"/>
      <c r="D106" s="121">
        <v>2212</v>
      </c>
      <c r="E106" s="122">
        <v>5169</v>
      </c>
      <c r="F106" s="177" t="s">
        <v>46</v>
      </c>
      <c r="G106" s="201" t="s">
        <v>32</v>
      </c>
      <c r="H106" s="124">
        <v>0</v>
      </c>
      <c r="I106" s="202">
        <v>598.95</v>
      </c>
      <c r="J106" s="124"/>
      <c r="K106" s="188">
        <f>I106+J106</f>
        <v>598.95</v>
      </c>
    </row>
    <row r="107" spans="1:11" s="182" customFormat="1" ht="12" customHeight="1">
      <c r="A107" s="375"/>
      <c r="B107" s="180" t="s">
        <v>4</v>
      </c>
      <c r="C107" s="89" t="s">
        <v>171</v>
      </c>
      <c r="D107" s="104"/>
      <c r="E107" s="105" t="s">
        <v>2</v>
      </c>
      <c r="F107" s="106"/>
      <c r="G107" s="181" t="s">
        <v>172</v>
      </c>
      <c r="H107" s="94">
        <f>SUM(H108:H108)</f>
        <v>0</v>
      </c>
      <c r="I107" s="200">
        <f>SUM(I108:I108)</f>
        <v>505.78</v>
      </c>
      <c r="J107" s="168">
        <f>SUM(J108:J108)</f>
        <v>0</v>
      </c>
      <c r="K107" s="94">
        <f>SUM(K108:K108)</f>
        <v>505.78</v>
      </c>
    </row>
    <row r="108" spans="1:11" s="182" customFormat="1" ht="12" customHeight="1" thickBot="1">
      <c r="A108" s="375"/>
      <c r="B108" s="197"/>
      <c r="C108" s="157"/>
      <c r="D108" s="121">
        <v>2212</v>
      </c>
      <c r="E108" s="122">
        <v>5169</v>
      </c>
      <c r="F108" s="177" t="s">
        <v>46</v>
      </c>
      <c r="G108" s="201" t="s">
        <v>32</v>
      </c>
      <c r="H108" s="124">
        <v>0</v>
      </c>
      <c r="I108" s="202">
        <v>505.78</v>
      </c>
      <c r="J108" s="124"/>
      <c r="K108" s="188">
        <f>I108+J108</f>
        <v>505.78</v>
      </c>
    </row>
    <row r="109" spans="1:11" s="182" customFormat="1" ht="12" customHeight="1">
      <c r="A109" s="375"/>
      <c r="B109" s="180" t="s">
        <v>4</v>
      </c>
      <c r="C109" s="89" t="s">
        <v>173</v>
      </c>
      <c r="D109" s="104"/>
      <c r="E109" s="105" t="s">
        <v>2</v>
      </c>
      <c r="F109" s="106"/>
      <c r="G109" s="181" t="s">
        <v>174</v>
      </c>
      <c r="H109" s="94">
        <f>SUM(H110:H110)</f>
        <v>0</v>
      </c>
      <c r="I109" s="200">
        <f>SUM(I110:I110)</f>
        <v>638.88</v>
      </c>
      <c r="J109" s="168">
        <f>SUM(J110:J110)</f>
        <v>0</v>
      </c>
      <c r="K109" s="94">
        <f>SUM(K110:K110)</f>
        <v>638.88</v>
      </c>
    </row>
    <row r="110" spans="1:11" s="182" customFormat="1" ht="12" customHeight="1" thickBot="1">
      <c r="A110" s="375"/>
      <c r="B110" s="197"/>
      <c r="C110" s="157"/>
      <c r="D110" s="121">
        <v>2212</v>
      </c>
      <c r="E110" s="122">
        <v>5169</v>
      </c>
      <c r="F110" s="177" t="s">
        <v>46</v>
      </c>
      <c r="G110" s="201" t="s">
        <v>32</v>
      </c>
      <c r="H110" s="124">
        <v>0</v>
      </c>
      <c r="I110" s="202">
        <v>638.88</v>
      </c>
      <c r="J110" s="124"/>
      <c r="K110" s="188">
        <f>I110+J110</f>
        <v>638.88</v>
      </c>
    </row>
    <row r="111" spans="1:11" s="182" customFormat="1" ht="12" customHeight="1">
      <c r="A111" s="375"/>
      <c r="B111" s="180" t="s">
        <v>4</v>
      </c>
      <c r="C111" s="89" t="s">
        <v>175</v>
      </c>
      <c r="D111" s="104"/>
      <c r="E111" s="105" t="s">
        <v>2</v>
      </c>
      <c r="F111" s="106"/>
      <c r="G111" s="181" t="s">
        <v>176</v>
      </c>
      <c r="H111" s="94">
        <f>SUM(H112:H112)</f>
        <v>0</v>
      </c>
      <c r="I111" s="200">
        <f>SUM(I112:I112)</f>
        <v>1097.47</v>
      </c>
      <c r="J111" s="168">
        <f>SUM(J112:J112)</f>
        <v>0</v>
      </c>
      <c r="K111" s="94">
        <f>SUM(K112:K112)</f>
        <v>1097.47</v>
      </c>
    </row>
    <row r="112" spans="1:11" s="182" customFormat="1" ht="12" customHeight="1" thickBot="1">
      <c r="A112" s="375"/>
      <c r="B112" s="197"/>
      <c r="C112" s="157"/>
      <c r="D112" s="121">
        <v>2212</v>
      </c>
      <c r="E112" s="122">
        <v>5169</v>
      </c>
      <c r="F112" s="177" t="s">
        <v>46</v>
      </c>
      <c r="G112" s="201" t="s">
        <v>32</v>
      </c>
      <c r="H112" s="124">
        <v>0</v>
      </c>
      <c r="I112" s="202">
        <v>1097.47</v>
      </c>
      <c r="J112" s="124"/>
      <c r="K112" s="188">
        <f>I112+J112</f>
        <v>1097.47</v>
      </c>
    </row>
    <row r="113" spans="1:11" s="182" customFormat="1" ht="12" customHeight="1">
      <c r="A113" s="375"/>
      <c r="B113" s="180" t="s">
        <v>4</v>
      </c>
      <c r="C113" s="89" t="s">
        <v>177</v>
      </c>
      <c r="D113" s="104"/>
      <c r="E113" s="105" t="s">
        <v>2</v>
      </c>
      <c r="F113" s="106"/>
      <c r="G113" s="181" t="s">
        <v>178</v>
      </c>
      <c r="H113" s="94">
        <f>SUM(H114:H114)</f>
        <v>0</v>
      </c>
      <c r="I113" s="200">
        <f>SUM(I114:I114)</f>
        <v>318.23</v>
      </c>
      <c r="J113" s="168">
        <f>SUM(J114:J114)</f>
        <v>0</v>
      </c>
      <c r="K113" s="94">
        <f>SUM(K114:K114)</f>
        <v>318.23</v>
      </c>
    </row>
    <row r="114" spans="1:11" s="182" customFormat="1" ht="12" customHeight="1" thickBot="1">
      <c r="A114" s="375"/>
      <c r="B114" s="197"/>
      <c r="C114" s="157"/>
      <c r="D114" s="121">
        <v>2212</v>
      </c>
      <c r="E114" s="122">
        <v>5169</v>
      </c>
      <c r="F114" s="177" t="s">
        <v>46</v>
      </c>
      <c r="G114" s="201" t="s">
        <v>32</v>
      </c>
      <c r="H114" s="124">
        <v>0</v>
      </c>
      <c r="I114" s="202">
        <v>318.23</v>
      </c>
      <c r="J114" s="124"/>
      <c r="K114" s="188">
        <f>I114+J114</f>
        <v>318.23</v>
      </c>
    </row>
    <row r="115" spans="1:11" s="182" customFormat="1" ht="12" customHeight="1">
      <c r="A115" s="375"/>
      <c r="B115" s="180" t="s">
        <v>4</v>
      </c>
      <c r="C115" s="89" t="s">
        <v>179</v>
      </c>
      <c r="D115" s="104"/>
      <c r="E115" s="105" t="s">
        <v>2</v>
      </c>
      <c r="F115" s="106"/>
      <c r="G115" s="181" t="s">
        <v>180</v>
      </c>
      <c r="H115" s="94">
        <f>SUM(H116:H116)</f>
        <v>0</v>
      </c>
      <c r="I115" s="200">
        <f>SUM(I116:I116)</f>
        <v>983.73</v>
      </c>
      <c r="J115" s="168">
        <f>SUM(J116:J116)</f>
        <v>0</v>
      </c>
      <c r="K115" s="94">
        <f>SUM(K116:K116)</f>
        <v>983.73</v>
      </c>
    </row>
    <row r="116" spans="1:11" s="182" customFormat="1" ht="12" customHeight="1" thickBot="1">
      <c r="A116" s="375"/>
      <c r="B116" s="197"/>
      <c r="C116" s="157"/>
      <c r="D116" s="121">
        <v>2212</v>
      </c>
      <c r="E116" s="122">
        <v>5169</v>
      </c>
      <c r="F116" s="177" t="s">
        <v>46</v>
      </c>
      <c r="G116" s="201" t="s">
        <v>32</v>
      </c>
      <c r="H116" s="124">
        <v>0</v>
      </c>
      <c r="I116" s="202">
        <v>983.73</v>
      </c>
      <c r="J116" s="124"/>
      <c r="K116" s="188">
        <f>I116+J116</f>
        <v>983.73</v>
      </c>
    </row>
    <row r="117" spans="1:11" s="182" customFormat="1" ht="12" customHeight="1">
      <c r="A117" s="375"/>
      <c r="B117" s="180" t="s">
        <v>4</v>
      </c>
      <c r="C117" s="89" t="s">
        <v>181</v>
      </c>
      <c r="D117" s="104"/>
      <c r="E117" s="105" t="s">
        <v>2</v>
      </c>
      <c r="F117" s="106"/>
      <c r="G117" s="181" t="s">
        <v>182</v>
      </c>
      <c r="H117" s="94">
        <f>SUM(H118:H118)</f>
        <v>0</v>
      </c>
      <c r="I117" s="200">
        <f>SUM(I118:I118)</f>
        <v>533.005</v>
      </c>
      <c r="J117" s="168">
        <f>SUM(J118:J118)</f>
        <v>0</v>
      </c>
      <c r="K117" s="94">
        <f>SUM(K118:K118)</f>
        <v>533.005</v>
      </c>
    </row>
    <row r="118" spans="1:11" s="182" customFormat="1" ht="12" customHeight="1" thickBot="1">
      <c r="A118" s="375"/>
      <c r="B118" s="197"/>
      <c r="C118" s="157"/>
      <c r="D118" s="121">
        <v>2212</v>
      </c>
      <c r="E118" s="122">
        <v>5169</v>
      </c>
      <c r="F118" s="177" t="s">
        <v>46</v>
      </c>
      <c r="G118" s="201" t="s">
        <v>32</v>
      </c>
      <c r="H118" s="124">
        <v>0</v>
      </c>
      <c r="I118" s="202">
        <v>533.005</v>
      </c>
      <c r="J118" s="124"/>
      <c r="K118" s="188">
        <f>I118+J118</f>
        <v>533.005</v>
      </c>
    </row>
    <row r="119" spans="1:11" s="182" customFormat="1" ht="12" customHeight="1">
      <c r="A119" s="375"/>
      <c r="B119" s="180" t="s">
        <v>4</v>
      </c>
      <c r="C119" s="89" t="s">
        <v>183</v>
      </c>
      <c r="D119" s="104"/>
      <c r="E119" s="105" t="s">
        <v>2</v>
      </c>
      <c r="F119" s="106"/>
      <c r="G119" s="181" t="s">
        <v>184</v>
      </c>
      <c r="H119" s="94">
        <f>SUM(H120:H120)</f>
        <v>0</v>
      </c>
      <c r="I119" s="200">
        <f>SUM(I120:I120)</f>
        <v>592.295</v>
      </c>
      <c r="J119" s="168">
        <f>SUM(J120:J120)</f>
        <v>0</v>
      </c>
      <c r="K119" s="94">
        <f>SUM(K120:K120)</f>
        <v>592.295</v>
      </c>
    </row>
    <row r="120" spans="1:11" s="182" customFormat="1" ht="12" customHeight="1" thickBot="1">
      <c r="A120" s="375"/>
      <c r="B120" s="197"/>
      <c r="C120" s="157"/>
      <c r="D120" s="121">
        <v>2212</v>
      </c>
      <c r="E120" s="122">
        <v>5169</v>
      </c>
      <c r="F120" s="177" t="s">
        <v>46</v>
      </c>
      <c r="G120" s="201" t="s">
        <v>32</v>
      </c>
      <c r="H120" s="124">
        <v>0</v>
      </c>
      <c r="I120" s="202">
        <v>592.295</v>
      </c>
      <c r="J120" s="124"/>
      <c r="K120" s="188">
        <f>I120+J120</f>
        <v>592.295</v>
      </c>
    </row>
    <row r="121" spans="1:11" s="182" customFormat="1" ht="12" customHeight="1">
      <c r="A121" s="375"/>
      <c r="B121" s="180" t="s">
        <v>4</v>
      </c>
      <c r="C121" s="89" t="s">
        <v>185</v>
      </c>
      <c r="D121" s="104"/>
      <c r="E121" s="105" t="s">
        <v>2</v>
      </c>
      <c r="F121" s="106"/>
      <c r="G121" s="181" t="s">
        <v>186</v>
      </c>
      <c r="H121" s="94">
        <f>SUM(H122:H122)</f>
        <v>0</v>
      </c>
      <c r="I121" s="200">
        <f>SUM(I122:I122)</f>
        <v>222.035</v>
      </c>
      <c r="J121" s="168">
        <f>SUM(J122:J122)</f>
        <v>0</v>
      </c>
      <c r="K121" s="94">
        <f>SUM(K122:K122)</f>
        <v>222.035</v>
      </c>
    </row>
    <row r="122" spans="1:11" s="182" customFormat="1" ht="12" customHeight="1" thickBot="1">
      <c r="A122" s="375"/>
      <c r="B122" s="197"/>
      <c r="C122" s="157"/>
      <c r="D122" s="121">
        <v>2212</v>
      </c>
      <c r="E122" s="122">
        <v>5169</v>
      </c>
      <c r="F122" s="177" t="s">
        <v>46</v>
      </c>
      <c r="G122" s="201" t="s">
        <v>32</v>
      </c>
      <c r="H122" s="124">
        <v>0</v>
      </c>
      <c r="I122" s="202">
        <v>222.035</v>
      </c>
      <c r="J122" s="124"/>
      <c r="K122" s="188">
        <f>I122+J122</f>
        <v>222.035</v>
      </c>
    </row>
    <row r="123" spans="1:11" s="182" customFormat="1" ht="12" customHeight="1">
      <c r="A123" s="375"/>
      <c r="B123" s="180" t="s">
        <v>4</v>
      </c>
      <c r="C123" s="89" t="s">
        <v>187</v>
      </c>
      <c r="D123" s="104"/>
      <c r="E123" s="105" t="s">
        <v>2</v>
      </c>
      <c r="F123" s="106"/>
      <c r="G123" s="181" t="s">
        <v>188</v>
      </c>
      <c r="H123" s="94">
        <f>SUM(H124:H124)</f>
        <v>0</v>
      </c>
      <c r="I123" s="200">
        <f>SUM(I124:I124)</f>
        <v>306.735</v>
      </c>
      <c r="J123" s="168">
        <f>SUM(J124:J124)</f>
        <v>0</v>
      </c>
      <c r="K123" s="94">
        <f>SUM(K124:K124)</f>
        <v>306.735</v>
      </c>
    </row>
    <row r="124" spans="1:11" s="182" customFormat="1" ht="12" customHeight="1" thickBot="1">
      <c r="A124" s="375"/>
      <c r="B124" s="197"/>
      <c r="C124" s="157"/>
      <c r="D124" s="121">
        <v>2212</v>
      </c>
      <c r="E124" s="122">
        <v>5169</v>
      </c>
      <c r="F124" s="177" t="s">
        <v>46</v>
      </c>
      <c r="G124" s="201" t="s">
        <v>32</v>
      </c>
      <c r="H124" s="124">
        <v>0</v>
      </c>
      <c r="I124" s="202">
        <v>306.735</v>
      </c>
      <c r="J124" s="124"/>
      <c r="K124" s="188">
        <f>I124+J124</f>
        <v>306.735</v>
      </c>
    </row>
    <row r="125" spans="1:11" s="182" customFormat="1" ht="12" customHeight="1">
      <c r="A125" s="375"/>
      <c r="B125" s="180" t="s">
        <v>4</v>
      </c>
      <c r="C125" s="89" t="s">
        <v>189</v>
      </c>
      <c r="D125" s="104"/>
      <c r="E125" s="105" t="s">
        <v>2</v>
      </c>
      <c r="F125" s="106"/>
      <c r="G125" s="181" t="s">
        <v>190</v>
      </c>
      <c r="H125" s="94">
        <f>SUM(H126:H126)</f>
        <v>0</v>
      </c>
      <c r="I125" s="200">
        <f>SUM(I126:I126)</f>
        <v>149.435</v>
      </c>
      <c r="J125" s="168">
        <f>SUM(J126:J126)</f>
        <v>0</v>
      </c>
      <c r="K125" s="94">
        <f>SUM(K126:K126)</f>
        <v>149.435</v>
      </c>
    </row>
    <row r="126" spans="1:11" s="182" customFormat="1" ht="12" customHeight="1" thickBot="1">
      <c r="A126" s="375"/>
      <c r="B126" s="197"/>
      <c r="C126" s="157"/>
      <c r="D126" s="121">
        <v>2212</v>
      </c>
      <c r="E126" s="122">
        <v>5169</v>
      </c>
      <c r="F126" s="177" t="s">
        <v>46</v>
      </c>
      <c r="G126" s="201" t="s">
        <v>32</v>
      </c>
      <c r="H126" s="124">
        <v>0</v>
      </c>
      <c r="I126" s="202">
        <v>149.435</v>
      </c>
      <c r="J126" s="124"/>
      <c r="K126" s="188">
        <f>I126+J126</f>
        <v>149.435</v>
      </c>
    </row>
    <row r="127" spans="1:11" s="182" customFormat="1" ht="12" customHeight="1">
      <c r="A127" s="375"/>
      <c r="B127" s="180" t="s">
        <v>4</v>
      </c>
      <c r="C127" s="89" t="s">
        <v>191</v>
      </c>
      <c r="D127" s="104"/>
      <c r="E127" s="105" t="s">
        <v>2</v>
      </c>
      <c r="F127" s="106"/>
      <c r="G127" s="181" t="s">
        <v>192</v>
      </c>
      <c r="H127" s="94">
        <f>SUM(H128:H128)</f>
        <v>0</v>
      </c>
      <c r="I127" s="200">
        <f>SUM(I128:I128)</f>
        <v>155.485</v>
      </c>
      <c r="J127" s="168">
        <f>SUM(J128:J128)</f>
        <v>0</v>
      </c>
      <c r="K127" s="94">
        <f>SUM(K128:K128)</f>
        <v>155.485</v>
      </c>
    </row>
    <row r="128" spans="1:11" s="182" customFormat="1" ht="12" customHeight="1" thickBot="1">
      <c r="A128" s="375"/>
      <c r="B128" s="197"/>
      <c r="C128" s="157"/>
      <c r="D128" s="121">
        <v>2212</v>
      </c>
      <c r="E128" s="122">
        <v>5169</v>
      </c>
      <c r="F128" s="177" t="s">
        <v>46</v>
      </c>
      <c r="G128" s="201" t="s">
        <v>32</v>
      </c>
      <c r="H128" s="124">
        <v>0</v>
      </c>
      <c r="I128" s="202">
        <v>155.485</v>
      </c>
      <c r="J128" s="124"/>
      <c r="K128" s="188">
        <f>I128+J128</f>
        <v>155.485</v>
      </c>
    </row>
    <row r="129" spans="1:11" s="182" customFormat="1" ht="12" customHeight="1">
      <c r="A129" s="375"/>
      <c r="B129" s="180" t="s">
        <v>4</v>
      </c>
      <c r="C129" s="89" t="s">
        <v>193</v>
      </c>
      <c r="D129" s="104"/>
      <c r="E129" s="105" t="s">
        <v>2</v>
      </c>
      <c r="F129" s="106"/>
      <c r="G129" s="181" t="s">
        <v>194</v>
      </c>
      <c r="H129" s="94">
        <f>SUM(H130:H130)</f>
        <v>0</v>
      </c>
      <c r="I129" s="200">
        <f>SUM(I130:I130)</f>
        <v>243.815</v>
      </c>
      <c r="J129" s="168">
        <f>SUM(J130:J130)</f>
        <v>0</v>
      </c>
      <c r="K129" s="94">
        <f>SUM(K130:K130)</f>
        <v>243.815</v>
      </c>
    </row>
    <row r="130" spans="1:11" s="182" customFormat="1" ht="12" customHeight="1" thickBot="1">
      <c r="A130" s="375"/>
      <c r="B130" s="197"/>
      <c r="C130" s="157"/>
      <c r="D130" s="121">
        <v>2212</v>
      </c>
      <c r="E130" s="122">
        <v>5169</v>
      </c>
      <c r="F130" s="177" t="s">
        <v>46</v>
      </c>
      <c r="G130" s="201" t="s">
        <v>32</v>
      </c>
      <c r="H130" s="124">
        <v>0</v>
      </c>
      <c r="I130" s="202">
        <v>243.815</v>
      </c>
      <c r="J130" s="124"/>
      <c r="K130" s="188">
        <f>I130+J130</f>
        <v>243.815</v>
      </c>
    </row>
    <row r="131" spans="1:11" s="182" customFormat="1" ht="12" customHeight="1">
      <c r="A131" s="375"/>
      <c r="B131" s="180" t="s">
        <v>4</v>
      </c>
      <c r="C131" s="89" t="s">
        <v>195</v>
      </c>
      <c r="D131" s="104"/>
      <c r="E131" s="105" t="s">
        <v>2</v>
      </c>
      <c r="F131" s="106"/>
      <c r="G131" s="181" t="s">
        <v>196</v>
      </c>
      <c r="H131" s="94">
        <f>SUM(H132:H132)</f>
        <v>0</v>
      </c>
      <c r="I131" s="200">
        <f>SUM(I132:I132)</f>
        <v>373.285</v>
      </c>
      <c r="J131" s="168">
        <f>SUM(J132:J132)</f>
        <v>0</v>
      </c>
      <c r="K131" s="94">
        <f>SUM(K132:K132)</f>
        <v>373.285</v>
      </c>
    </row>
    <row r="132" spans="1:11" s="182" customFormat="1" ht="12" customHeight="1" thickBot="1">
      <c r="A132" s="375"/>
      <c r="B132" s="197"/>
      <c r="C132" s="157"/>
      <c r="D132" s="121">
        <v>2212</v>
      </c>
      <c r="E132" s="122">
        <v>5169</v>
      </c>
      <c r="F132" s="177" t="s">
        <v>46</v>
      </c>
      <c r="G132" s="201" t="s">
        <v>32</v>
      </c>
      <c r="H132" s="124">
        <v>0</v>
      </c>
      <c r="I132" s="202">
        <v>373.285</v>
      </c>
      <c r="J132" s="124"/>
      <c r="K132" s="188">
        <f>I132+J132</f>
        <v>373.285</v>
      </c>
    </row>
    <row r="133" spans="1:11" s="182" customFormat="1" ht="12" customHeight="1">
      <c r="A133" s="375"/>
      <c r="B133" s="180" t="s">
        <v>4</v>
      </c>
      <c r="C133" s="89" t="s">
        <v>197</v>
      </c>
      <c r="D133" s="104"/>
      <c r="E133" s="105" t="s">
        <v>2</v>
      </c>
      <c r="F133" s="106"/>
      <c r="G133" s="181" t="s">
        <v>198</v>
      </c>
      <c r="H133" s="94">
        <f>SUM(H134:H134)</f>
        <v>0</v>
      </c>
      <c r="I133" s="200">
        <f>SUM(I134:I134)</f>
        <v>493.68</v>
      </c>
      <c r="J133" s="168">
        <f>SUM(J134:J134)</f>
        <v>0</v>
      </c>
      <c r="K133" s="94">
        <f>SUM(K134:K134)</f>
        <v>493.68</v>
      </c>
    </row>
    <row r="134" spans="1:11" s="182" customFormat="1" ht="12" customHeight="1" thickBot="1">
      <c r="A134" s="375"/>
      <c r="B134" s="197"/>
      <c r="C134" s="157"/>
      <c r="D134" s="121">
        <v>2212</v>
      </c>
      <c r="E134" s="122">
        <v>5169</v>
      </c>
      <c r="F134" s="177" t="s">
        <v>46</v>
      </c>
      <c r="G134" s="201" t="s">
        <v>32</v>
      </c>
      <c r="H134" s="124">
        <v>0</v>
      </c>
      <c r="I134" s="202">
        <v>493.68</v>
      </c>
      <c r="J134" s="124"/>
      <c r="K134" s="188">
        <f>I134+J134</f>
        <v>493.68</v>
      </c>
    </row>
    <row r="135" spans="1:11" s="182" customFormat="1" ht="12" customHeight="1">
      <c r="A135" s="375"/>
      <c r="B135" s="180" t="s">
        <v>4</v>
      </c>
      <c r="C135" s="89" t="s">
        <v>199</v>
      </c>
      <c r="D135" s="104"/>
      <c r="E135" s="105" t="s">
        <v>2</v>
      </c>
      <c r="F135" s="106"/>
      <c r="G135" s="181" t="s">
        <v>200</v>
      </c>
      <c r="H135" s="94">
        <f>SUM(H136:H136)</f>
        <v>0</v>
      </c>
      <c r="I135" s="200">
        <f>SUM(I136:I136)</f>
        <v>839.135</v>
      </c>
      <c r="J135" s="94">
        <f>SUM(J136:J136)</f>
        <v>0</v>
      </c>
      <c r="K135" s="94">
        <f>SUM(K136:K136)</f>
        <v>839.135</v>
      </c>
    </row>
    <row r="136" spans="1:11" s="182" customFormat="1" ht="12" customHeight="1" thickBot="1">
      <c r="A136" s="375"/>
      <c r="B136" s="197"/>
      <c r="C136" s="157"/>
      <c r="D136" s="121">
        <v>2212</v>
      </c>
      <c r="E136" s="122">
        <v>5169</v>
      </c>
      <c r="F136" s="177" t="s">
        <v>46</v>
      </c>
      <c r="G136" s="201" t="s">
        <v>32</v>
      </c>
      <c r="H136" s="124">
        <v>0</v>
      </c>
      <c r="I136" s="202">
        <v>839.135</v>
      </c>
      <c r="J136" s="124"/>
      <c r="K136" s="188">
        <f>I136+J136</f>
        <v>839.135</v>
      </c>
    </row>
    <row r="137" spans="1:11" s="182" customFormat="1" ht="12" customHeight="1">
      <c r="A137" s="375"/>
      <c r="B137" s="180" t="s">
        <v>4</v>
      </c>
      <c r="C137" s="89" t="s">
        <v>201</v>
      </c>
      <c r="D137" s="104"/>
      <c r="E137" s="105" t="s">
        <v>2</v>
      </c>
      <c r="F137" s="106"/>
      <c r="G137" s="181" t="s">
        <v>202</v>
      </c>
      <c r="H137" s="94">
        <f>SUM(H138:H138)</f>
        <v>0</v>
      </c>
      <c r="I137" s="200">
        <f>SUM(I138:I138)</f>
        <v>762.905</v>
      </c>
      <c r="J137" s="168">
        <f>SUM(J138:J138)</f>
        <v>0</v>
      </c>
      <c r="K137" s="94">
        <f>SUM(K138:K138)</f>
        <v>762.905</v>
      </c>
    </row>
    <row r="138" spans="1:11" s="182" customFormat="1" ht="12" customHeight="1" thickBot="1">
      <c r="A138" s="375"/>
      <c r="B138" s="197"/>
      <c r="C138" s="157"/>
      <c r="D138" s="121">
        <v>2212</v>
      </c>
      <c r="E138" s="122">
        <v>5169</v>
      </c>
      <c r="F138" s="177" t="s">
        <v>46</v>
      </c>
      <c r="G138" s="201" t="s">
        <v>32</v>
      </c>
      <c r="H138" s="124">
        <v>0</v>
      </c>
      <c r="I138" s="202">
        <v>762.905</v>
      </c>
      <c r="J138" s="124"/>
      <c r="K138" s="188">
        <f>I138+J138</f>
        <v>762.905</v>
      </c>
    </row>
    <row r="139" spans="1:11" s="182" customFormat="1" ht="12" customHeight="1">
      <c r="A139" s="375"/>
      <c r="B139" s="180" t="s">
        <v>4</v>
      </c>
      <c r="C139" s="89" t="s">
        <v>203</v>
      </c>
      <c r="D139" s="104"/>
      <c r="E139" s="105" t="s">
        <v>2</v>
      </c>
      <c r="F139" s="106"/>
      <c r="G139" s="181" t="s">
        <v>204</v>
      </c>
      <c r="H139" s="94">
        <f>SUM(H140:H140)</f>
        <v>0</v>
      </c>
      <c r="I139" s="200">
        <f>SUM(I140:I140)</f>
        <v>756.855</v>
      </c>
      <c r="J139" s="168">
        <f>SUM(J140:J140)</f>
        <v>0</v>
      </c>
      <c r="K139" s="94">
        <f>SUM(K140:K140)</f>
        <v>756.855</v>
      </c>
    </row>
    <row r="140" spans="1:11" s="182" customFormat="1" ht="12" customHeight="1" thickBot="1">
      <c r="A140" s="375"/>
      <c r="B140" s="197"/>
      <c r="C140" s="157"/>
      <c r="D140" s="121">
        <v>2212</v>
      </c>
      <c r="E140" s="122">
        <v>5169</v>
      </c>
      <c r="F140" s="177" t="s">
        <v>46</v>
      </c>
      <c r="G140" s="201" t="s">
        <v>32</v>
      </c>
      <c r="H140" s="124">
        <v>0</v>
      </c>
      <c r="I140" s="202">
        <v>756.855</v>
      </c>
      <c r="J140" s="124"/>
      <c r="K140" s="188">
        <f>I140+J140</f>
        <v>756.855</v>
      </c>
    </row>
    <row r="141" spans="1:11" s="182" customFormat="1" ht="12" customHeight="1">
      <c r="A141" s="375"/>
      <c r="B141" s="180" t="s">
        <v>4</v>
      </c>
      <c r="C141" s="89" t="s">
        <v>205</v>
      </c>
      <c r="D141" s="104"/>
      <c r="E141" s="105" t="s">
        <v>2</v>
      </c>
      <c r="F141" s="106"/>
      <c r="G141" s="181" t="s">
        <v>206</v>
      </c>
      <c r="H141" s="94">
        <f>SUM(H142:H142)</f>
        <v>0</v>
      </c>
      <c r="I141" s="200">
        <f>SUM(I142:I142)</f>
        <v>384.78</v>
      </c>
      <c r="J141" s="168">
        <f>SUM(J142:J142)</f>
        <v>0</v>
      </c>
      <c r="K141" s="94">
        <f>SUM(K142:K142)</f>
        <v>384.78</v>
      </c>
    </row>
    <row r="142" spans="1:11" s="182" customFormat="1" ht="12" customHeight="1" thickBot="1">
      <c r="A142" s="375"/>
      <c r="B142" s="197"/>
      <c r="C142" s="157"/>
      <c r="D142" s="121">
        <v>2212</v>
      </c>
      <c r="E142" s="122">
        <v>5169</v>
      </c>
      <c r="F142" s="177" t="s">
        <v>46</v>
      </c>
      <c r="G142" s="201" t="s">
        <v>32</v>
      </c>
      <c r="H142" s="124">
        <v>0</v>
      </c>
      <c r="I142" s="202">
        <v>384.78</v>
      </c>
      <c r="J142" s="124"/>
      <c r="K142" s="188">
        <f>I142+J142</f>
        <v>384.78</v>
      </c>
    </row>
    <row r="143" spans="1:11" s="182" customFormat="1" ht="12" customHeight="1">
      <c r="A143" s="375"/>
      <c r="B143" s="180" t="s">
        <v>4</v>
      </c>
      <c r="C143" s="89" t="s">
        <v>207</v>
      </c>
      <c r="D143" s="104"/>
      <c r="E143" s="105" t="s">
        <v>2</v>
      </c>
      <c r="F143" s="106"/>
      <c r="G143" s="181" t="s">
        <v>208</v>
      </c>
      <c r="H143" s="94">
        <f>SUM(H144:H144)</f>
        <v>0</v>
      </c>
      <c r="I143" s="200">
        <f>SUM(I144:I144)</f>
        <v>487.63</v>
      </c>
      <c r="J143" s="168">
        <f>SUM(J144:J144)</f>
        <v>0</v>
      </c>
      <c r="K143" s="94">
        <f>SUM(K144:K144)</f>
        <v>487.63</v>
      </c>
    </row>
    <row r="144" spans="1:11" s="182" customFormat="1" ht="12" customHeight="1" thickBot="1">
      <c r="A144" s="375"/>
      <c r="B144" s="197"/>
      <c r="C144" s="157"/>
      <c r="D144" s="121">
        <v>2212</v>
      </c>
      <c r="E144" s="122">
        <v>5169</v>
      </c>
      <c r="F144" s="177" t="s">
        <v>46</v>
      </c>
      <c r="G144" s="201" t="s">
        <v>32</v>
      </c>
      <c r="H144" s="124">
        <v>0</v>
      </c>
      <c r="I144" s="202">
        <v>487.63</v>
      </c>
      <c r="J144" s="124"/>
      <c r="K144" s="188">
        <f>I144+J144</f>
        <v>487.63</v>
      </c>
    </row>
    <row r="145" spans="1:11" s="182" customFormat="1" ht="12" customHeight="1">
      <c r="A145" s="375"/>
      <c r="B145" s="180" t="s">
        <v>4</v>
      </c>
      <c r="C145" s="89" t="s">
        <v>209</v>
      </c>
      <c r="D145" s="104"/>
      <c r="E145" s="105" t="s">
        <v>2</v>
      </c>
      <c r="F145" s="106"/>
      <c r="G145" s="181" t="s">
        <v>210</v>
      </c>
      <c r="H145" s="94">
        <f>SUM(H146:H146)</f>
        <v>0</v>
      </c>
      <c r="I145" s="200">
        <f>SUM(I146:I146)</f>
        <v>524.535</v>
      </c>
      <c r="J145" s="168">
        <f>SUM(J146:J146)</f>
        <v>0</v>
      </c>
      <c r="K145" s="94">
        <f>SUM(K146:K146)</f>
        <v>524.535</v>
      </c>
    </row>
    <row r="146" spans="1:11" s="182" customFormat="1" ht="12" customHeight="1" thickBot="1">
      <c r="A146" s="375"/>
      <c r="B146" s="197"/>
      <c r="C146" s="157"/>
      <c r="D146" s="121">
        <v>2212</v>
      </c>
      <c r="E146" s="122">
        <v>5169</v>
      </c>
      <c r="F146" s="177" t="s">
        <v>46</v>
      </c>
      <c r="G146" s="201" t="s">
        <v>32</v>
      </c>
      <c r="H146" s="124">
        <v>0</v>
      </c>
      <c r="I146" s="202">
        <v>524.535</v>
      </c>
      <c r="J146" s="124"/>
      <c r="K146" s="188">
        <f>I146+J146</f>
        <v>524.535</v>
      </c>
    </row>
    <row r="147" spans="1:11" s="182" customFormat="1" ht="12" customHeight="1">
      <c r="A147" s="375"/>
      <c r="B147" s="180" t="s">
        <v>4</v>
      </c>
      <c r="C147" s="89" t="s">
        <v>211</v>
      </c>
      <c r="D147" s="104"/>
      <c r="E147" s="105" t="s">
        <v>2</v>
      </c>
      <c r="F147" s="106"/>
      <c r="G147" s="181" t="s">
        <v>212</v>
      </c>
      <c r="H147" s="94">
        <f>SUM(H148:H148)</f>
        <v>0</v>
      </c>
      <c r="I147" s="200">
        <f>SUM(I148:I148)</f>
        <v>639.485</v>
      </c>
      <c r="J147" s="168">
        <f>SUM(J148:J148)</f>
        <v>0</v>
      </c>
      <c r="K147" s="94">
        <f>SUM(K148:K148)</f>
        <v>639.485</v>
      </c>
    </row>
    <row r="148" spans="1:11" s="182" customFormat="1" ht="12" customHeight="1" thickBot="1">
      <c r="A148" s="375"/>
      <c r="B148" s="197"/>
      <c r="C148" s="157"/>
      <c r="D148" s="121">
        <v>2212</v>
      </c>
      <c r="E148" s="122">
        <v>5169</v>
      </c>
      <c r="F148" s="177" t="s">
        <v>46</v>
      </c>
      <c r="G148" s="201" t="s">
        <v>32</v>
      </c>
      <c r="H148" s="124">
        <v>0</v>
      </c>
      <c r="I148" s="202">
        <v>639.485</v>
      </c>
      <c r="J148" s="124"/>
      <c r="K148" s="188">
        <f>I148+J148</f>
        <v>639.485</v>
      </c>
    </row>
    <row r="149" spans="1:11" s="182" customFormat="1" ht="12" customHeight="1">
      <c r="A149" s="375"/>
      <c r="B149" s="180" t="s">
        <v>4</v>
      </c>
      <c r="C149" s="89" t="s">
        <v>213</v>
      </c>
      <c r="D149" s="104"/>
      <c r="E149" s="105" t="s">
        <v>2</v>
      </c>
      <c r="F149" s="106"/>
      <c r="G149" s="181" t="s">
        <v>214</v>
      </c>
      <c r="H149" s="94">
        <f>SUM(H150:H150)</f>
        <v>0</v>
      </c>
      <c r="I149" s="200">
        <f>SUM(I150:I150)</f>
        <v>760.485</v>
      </c>
      <c r="J149" s="168">
        <f>SUM(J150:J150)</f>
        <v>0</v>
      </c>
      <c r="K149" s="94">
        <f>SUM(K150:K150)</f>
        <v>760.485</v>
      </c>
    </row>
    <row r="150" spans="1:11" s="182" customFormat="1" ht="12" customHeight="1" thickBot="1">
      <c r="A150" s="375"/>
      <c r="B150" s="197"/>
      <c r="C150" s="157"/>
      <c r="D150" s="121">
        <v>2212</v>
      </c>
      <c r="E150" s="122">
        <v>5169</v>
      </c>
      <c r="F150" s="177" t="s">
        <v>46</v>
      </c>
      <c r="G150" s="201" t="s">
        <v>32</v>
      </c>
      <c r="H150" s="124">
        <v>0</v>
      </c>
      <c r="I150" s="202">
        <v>760.485</v>
      </c>
      <c r="J150" s="124"/>
      <c r="K150" s="188">
        <f>I150+J150</f>
        <v>760.485</v>
      </c>
    </row>
    <row r="151" spans="1:11" s="182" customFormat="1" ht="12" customHeight="1">
      <c r="A151" s="375"/>
      <c r="B151" s="180" t="s">
        <v>4</v>
      </c>
      <c r="C151" s="89" t="s">
        <v>215</v>
      </c>
      <c r="D151" s="104"/>
      <c r="E151" s="105" t="s">
        <v>2</v>
      </c>
      <c r="F151" s="106"/>
      <c r="G151" s="181" t="s">
        <v>216</v>
      </c>
      <c r="H151" s="94">
        <f>SUM(H152:H152)</f>
        <v>0</v>
      </c>
      <c r="I151" s="200">
        <f>SUM(I152:I152)</f>
        <v>199.65</v>
      </c>
      <c r="J151" s="168">
        <f>SUM(J152:J152)</f>
        <v>0</v>
      </c>
      <c r="K151" s="94">
        <f>SUM(K152:K152)</f>
        <v>199.65</v>
      </c>
    </row>
    <row r="152" spans="1:11" s="182" customFormat="1" ht="12" customHeight="1" thickBot="1">
      <c r="A152" s="375"/>
      <c r="B152" s="195"/>
      <c r="C152" s="176"/>
      <c r="D152" s="121">
        <v>2212</v>
      </c>
      <c r="E152" s="122">
        <v>5169</v>
      </c>
      <c r="F152" s="177" t="s">
        <v>46</v>
      </c>
      <c r="G152" s="201" t="s">
        <v>32</v>
      </c>
      <c r="H152" s="124">
        <v>0</v>
      </c>
      <c r="I152" s="202">
        <v>199.65</v>
      </c>
      <c r="J152" s="124"/>
      <c r="K152" s="124">
        <f>I152+J152</f>
        <v>199.65</v>
      </c>
    </row>
    <row r="153" spans="1:11" s="182" customFormat="1" ht="12" customHeight="1">
      <c r="A153" s="375"/>
      <c r="B153" s="180" t="s">
        <v>4</v>
      </c>
      <c r="C153" s="89" t="s">
        <v>217</v>
      </c>
      <c r="D153" s="104"/>
      <c r="E153" s="105" t="s">
        <v>2</v>
      </c>
      <c r="F153" s="106"/>
      <c r="G153" s="181" t="s">
        <v>218</v>
      </c>
      <c r="H153" s="94">
        <f>SUM(H154:H154)</f>
        <v>0</v>
      </c>
      <c r="I153" s="200">
        <f>SUM(I154:I154)</f>
        <v>220.099</v>
      </c>
      <c r="J153" s="168">
        <f>SUM(J154:J154)</f>
        <v>0</v>
      </c>
      <c r="K153" s="94">
        <f>SUM(K154:K154)</f>
        <v>220.099</v>
      </c>
    </row>
    <row r="154" spans="1:11" s="182" customFormat="1" ht="12" customHeight="1" thickBot="1">
      <c r="A154" s="375"/>
      <c r="B154" s="197"/>
      <c r="C154" s="157"/>
      <c r="D154" s="121">
        <v>2212</v>
      </c>
      <c r="E154" s="122">
        <v>5169</v>
      </c>
      <c r="F154" s="177" t="s">
        <v>46</v>
      </c>
      <c r="G154" s="201" t="s">
        <v>32</v>
      </c>
      <c r="H154" s="124">
        <v>0</v>
      </c>
      <c r="I154" s="202">
        <v>220.099</v>
      </c>
      <c r="J154" s="124"/>
      <c r="K154" s="188">
        <f>I154+J154</f>
        <v>220.099</v>
      </c>
    </row>
    <row r="155" spans="1:11" s="182" customFormat="1" ht="12" customHeight="1">
      <c r="A155" s="375"/>
      <c r="B155" s="180" t="s">
        <v>4</v>
      </c>
      <c r="C155" s="89" t="s">
        <v>223</v>
      </c>
      <c r="D155" s="104"/>
      <c r="E155" s="105" t="s">
        <v>2</v>
      </c>
      <c r="F155" s="106"/>
      <c r="G155" s="181" t="s">
        <v>224</v>
      </c>
      <c r="H155" s="94">
        <f>SUM(H156:H156)</f>
        <v>0</v>
      </c>
      <c r="I155" s="168">
        <f>SUM(I156:I156)</f>
        <v>785.29</v>
      </c>
      <c r="J155" s="168">
        <f>SUM(J156:J156)</f>
        <v>0</v>
      </c>
      <c r="K155" s="94">
        <f>SUM(K156:K156)</f>
        <v>785.29</v>
      </c>
    </row>
    <row r="156" spans="1:11" s="182" customFormat="1" ht="12" customHeight="1" thickBot="1">
      <c r="A156" s="375"/>
      <c r="B156" s="197"/>
      <c r="C156" s="157"/>
      <c r="D156" s="121">
        <v>2212</v>
      </c>
      <c r="E156" s="122">
        <v>5169</v>
      </c>
      <c r="F156" s="177" t="s">
        <v>46</v>
      </c>
      <c r="G156" s="201" t="s">
        <v>32</v>
      </c>
      <c r="H156" s="124">
        <v>0</v>
      </c>
      <c r="I156" s="124">
        <v>785.29</v>
      </c>
      <c r="J156" s="124"/>
      <c r="K156" s="188">
        <f>I156+J156</f>
        <v>785.29</v>
      </c>
    </row>
    <row r="157" spans="1:11" s="182" customFormat="1" ht="12" customHeight="1">
      <c r="A157" s="375"/>
      <c r="B157" s="180" t="s">
        <v>4</v>
      </c>
      <c r="C157" s="89" t="s">
        <v>225</v>
      </c>
      <c r="D157" s="104"/>
      <c r="E157" s="105" t="s">
        <v>2</v>
      </c>
      <c r="F157" s="106"/>
      <c r="G157" s="181" t="s">
        <v>226</v>
      </c>
      <c r="H157" s="94">
        <f>SUM(H158:H158)</f>
        <v>0</v>
      </c>
      <c r="I157" s="168">
        <f>SUM(I158:I158)</f>
        <v>204.49</v>
      </c>
      <c r="J157" s="168">
        <f>SUM(J158:J158)</f>
        <v>0</v>
      </c>
      <c r="K157" s="94">
        <f>SUM(K158:K158)</f>
        <v>204.49</v>
      </c>
    </row>
    <row r="158" spans="1:11" s="182" customFormat="1" ht="12" customHeight="1" thickBot="1">
      <c r="A158" s="375"/>
      <c r="B158" s="197"/>
      <c r="C158" s="157"/>
      <c r="D158" s="121">
        <v>2212</v>
      </c>
      <c r="E158" s="122">
        <v>5169</v>
      </c>
      <c r="F158" s="177" t="s">
        <v>46</v>
      </c>
      <c r="G158" s="201" t="s">
        <v>32</v>
      </c>
      <c r="H158" s="124">
        <v>0</v>
      </c>
      <c r="I158" s="124">
        <v>204.49</v>
      </c>
      <c r="J158" s="124"/>
      <c r="K158" s="188">
        <f>I158+J158</f>
        <v>204.49</v>
      </c>
    </row>
    <row r="159" spans="1:11" s="182" customFormat="1" ht="12" customHeight="1">
      <c r="A159" s="375"/>
      <c r="B159" s="180" t="s">
        <v>4</v>
      </c>
      <c r="C159" s="89" t="s">
        <v>227</v>
      </c>
      <c r="D159" s="104"/>
      <c r="E159" s="105" t="s">
        <v>2</v>
      </c>
      <c r="F159" s="106"/>
      <c r="G159" s="181" t="s">
        <v>228</v>
      </c>
      <c r="H159" s="94">
        <f>SUM(H160:H160)</f>
        <v>0</v>
      </c>
      <c r="I159" s="168">
        <f>SUM(I160:I160)</f>
        <v>594.48</v>
      </c>
      <c r="J159" s="168">
        <f>SUM(J160:J160)</f>
        <v>0</v>
      </c>
      <c r="K159" s="94">
        <f>SUM(K160:K160)</f>
        <v>594.48</v>
      </c>
    </row>
    <row r="160" spans="1:11" s="182" customFormat="1" ht="12" customHeight="1" thickBot="1">
      <c r="A160" s="375"/>
      <c r="B160" s="195"/>
      <c r="C160" s="176"/>
      <c r="D160" s="121">
        <v>2212</v>
      </c>
      <c r="E160" s="122">
        <v>5169</v>
      </c>
      <c r="F160" s="177" t="s">
        <v>46</v>
      </c>
      <c r="G160" s="201" t="s">
        <v>32</v>
      </c>
      <c r="H160" s="124">
        <v>0</v>
      </c>
      <c r="I160" s="124">
        <v>594.48</v>
      </c>
      <c r="J160" s="124"/>
      <c r="K160" s="124">
        <f>I160+J160</f>
        <v>594.48</v>
      </c>
    </row>
    <row r="161" spans="1:11" s="182" customFormat="1" ht="12" customHeight="1">
      <c r="A161" s="375"/>
      <c r="B161" s="180" t="s">
        <v>4</v>
      </c>
      <c r="C161" s="89" t="s">
        <v>229</v>
      </c>
      <c r="D161" s="104"/>
      <c r="E161" s="105" t="s">
        <v>2</v>
      </c>
      <c r="F161" s="106"/>
      <c r="G161" s="181" t="s">
        <v>230</v>
      </c>
      <c r="H161" s="94">
        <f>SUM(H162:H162)</f>
        <v>0</v>
      </c>
      <c r="I161" s="168">
        <f>SUM(I162:I162)</f>
        <v>555.39</v>
      </c>
      <c r="J161" s="168">
        <f>SUM(J162:J162)</f>
        <v>0</v>
      </c>
      <c r="K161" s="94">
        <f>SUM(K162:K162)</f>
        <v>555.39</v>
      </c>
    </row>
    <row r="162" spans="1:11" s="182" customFormat="1" ht="12" customHeight="1" thickBot="1">
      <c r="A162" s="375"/>
      <c r="B162" s="197"/>
      <c r="C162" s="157"/>
      <c r="D162" s="121">
        <v>2212</v>
      </c>
      <c r="E162" s="122">
        <v>5169</v>
      </c>
      <c r="F162" s="177" t="s">
        <v>46</v>
      </c>
      <c r="G162" s="201" t="s">
        <v>32</v>
      </c>
      <c r="H162" s="124">
        <v>0</v>
      </c>
      <c r="I162" s="124">
        <v>555.39</v>
      </c>
      <c r="J162" s="124"/>
      <c r="K162" s="188">
        <f>I162+J162</f>
        <v>555.39</v>
      </c>
    </row>
    <row r="163" spans="1:11" s="182" customFormat="1" ht="12" customHeight="1">
      <c r="A163" s="375"/>
      <c r="B163" s="180" t="s">
        <v>4</v>
      </c>
      <c r="C163" s="89" t="s">
        <v>448</v>
      </c>
      <c r="D163" s="104"/>
      <c r="E163" s="105" t="s">
        <v>2</v>
      </c>
      <c r="F163" s="106"/>
      <c r="G163" s="181" t="s">
        <v>451</v>
      </c>
      <c r="H163" s="94">
        <f>SUM(H164:H164)</f>
        <v>0</v>
      </c>
      <c r="I163" s="94">
        <f>SUM(I164:I164)</f>
        <v>0</v>
      </c>
      <c r="J163" s="94">
        <f>SUM(J164:J164)</f>
        <v>592.9</v>
      </c>
      <c r="K163" s="94">
        <f>SUM(K164:K164)</f>
        <v>592.9</v>
      </c>
    </row>
    <row r="164" spans="1:11" s="182" customFormat="1" ht="12" customHeight="1" thickBot="1">
      <c r="A164" s="375"/>
      <c r="B164" s="197"/>
      <c r="C164" s="157"/>
      <c r="D164" s="121">
        <v>2212</v>
      </c>
      <c r="E164" s="122">
        <v>6121</v>
      </c>
      <c r="F164" s="177" t="s">
        <v>46</v>
      </c>
      <c r="G164" s="351" t="s">
        <v>125</v>
      </c>
      <c r="H164" s="124">
        <v>0</v>
      </c>
      <c r="I164" s="124">
        <v>0</v>
      </c>
      <c r="J164" s="124">
        <v>592.9</v>
      </c>
      <c r="K164" s="188">
        <f>I164+J164</f>
        <v>592.9</v>
      </c>
    </row>
    <row r="165" spans="1:11" s="24" customFormat="1" ht="12.75" customHeight="1">
      <c r="A165" s="375"/>
      <c r="B165" s="203" t="s">
        <v>4</v>
      </c>
      <c r="C165" s="163" t="s">
        <v>60</v>
      </c>
      <c r="D165" s="204" t="s">
        <v>2</v>
      </c>
      <c r="E165" s="205" t="s">
        <v>2</v>
      </c>
      <c r="F165" s="206"/>
      <c r="G165" s="34" t="s">
        <v>61</v>
      </c>
      <c r="H165" s="168">
        <f>SUM(H166:H166)</f>
        <v>300</v>
      </c>
      <c r="I165" s="168">
        <f>SUM(I166:I166)</f>
        <v>1210</v>
      </c>
      <c r="J165" s="168">
        <f>SUM(J166:J166)</f>
        <v>0</v>
      </c>
      <c r="K165" s="168">
        <f>SUM(K166:K166)</f>
        <v>1210</v>
      </c>
    </row>
    <row r="166" spans="1:11" s="211" customFormat="1" ht="12.75" customHeight="1" thickBot="1">
      <c r="A166" s="375"/>
      <c r="B166" s="207"/>
      <c r="C166" s="120"/>
      <c r="D166" s="208">
        <v>6310</v>
      </c>
      <c r="E166" s="209">
        <v>5909</v>
      </c>
      <c r="F166" s="123"/>
      <c r="G166" s="210" t="s">
        <v>62</v>
      </c>
      <c r="H166" s="124">
        <v>300</v>
      </c>
      <c r="I166" s="124">
        <f>300+910</f>
        <v>1210</v>
      </c>
      <c r="J166" s="124"/>
      <c r="K166" s="161">
        <f>I166+J166</f>
        <v>1210</v>
      </c>
    </row>
    <row r="167" spans="1:11" s="24" customFormat="1" ht="12.75" customHeight="1" thickBot="1">
      <c r="A167" s="375"/>
      <c r="B167" s="81" t="s">
        <v>4</v>
      </c>
      <c r="C167" s="82" t="s">
        <v>2</v>
      </c>
      <c r="D167" s="83" t="s">
        <v>2</v>
      </c>
      <c r="E167" s="84" t="s">
        <v>2</v>
      </c>
      <c r="F167" s="85"/>
      <c r="G167" s="29" t="s">
        <v>63</v>
      </c>
      <c r="H167" s="86">
        <f>H168+H178+H180</f>
        <v>345</v>
      </c>
      <c r="I167" s="86">
        <f>I168+I178+I180</f>
        <v>3545</v>
      </c>
      <c r="J167" s="86">
        <f>J168+J178+J180</f>
        <v>0</v>
      </c>
      <c r="K167" s="87">
        <f>K168+K178+K180</f>
        <v>3545</v>
      </c>
    </row>
    <row r="168" spans="1:11" s="211" customFormat="1" ht="12.75" customHeight="1">
      <c r="A168" s="375"/>
      <c r="B168" s="212" t="s">
        <v>4</v>
      </c>
      <c r="C168" s="89" t="s">
        <v>69</v>
      </c>
      <c r="D168" s="90" t="s">
        <v>2</v>
      </c>
      <c r="E168" s="91" t="s">
        <v>2</v>
      </c>
      <c r="F168" s="92"/>
      <c r="G168" s="30" t="s">
        <v>231</v>
      </c>
      <c r="H168" s="93">
        <f>SUM(H169:H177)</f>
        <v>345</v>
      </c>
      <c r="I168" s="94">
        <f>SUM(I169:I177)</f>
        <v>545</v>
      </c>
      <c r="J168" s="94">
        <f>SUM(J169:J177)</f>
        <v>0</v>
      </c>
      <c r="K168" s="94">
        <f>SUM(K169:K177)</f>
        <v>545</v>
      </c>
    </row>
    <row r="169" spans="1:11" s="211" customFormat="1" ht="12.75" customHeight="1">
      <c r="A169" s="375"/>
      <c r="B169" s="213"/>
      <c r="C169" s="214"/>
      <c r="D169" s="109">
        <v>2219</v>
      </c>
      <c r="E169" s="215">
        <v>5169</v>
      </c>
      <c r="F169" s="118" t="s">
        <v>66</v>
      </c>
      <c r="G169" s="216" t="s">
        <v>32</v>
      </c>
      <c r="H169" s="217">
        <v>33</v>
      </c>
      <c r="I169" s="218">
        <f>33+18</f>
        <v>51</v>
      </c>
      <c r="J169" s="235"/>
      <c r="K169" s="116">
        <f aca="true" t="shared" si="3" ref="K169:K177">I169+J169</f>
        <v>51</v>
      </c>
    </row>
    <row r="170" spans="1:11" s="24" customFormat="1" ht="12.75" customHeight="1">
      <c r="A170" s="375"/>
      <c r="B170" s="213"/>
      <c r="C170" s="214"/>
      <c r="D170" s="109">
        <v>2219</v>
      </c>
      <c r="E170" s="215">
        <v>5169</v>
      </c>
      <c r="F170" s="118" t="s">
        <v>67</v>
      </c>
      <c r="G170" s="216" t="s">
        <v>32</v>
      </c>
      <c r="H170" s="219">
        <v>16</v>
      </c>
      <c r="I170" s="220">
        <f>16+9</f>
        <v>25</v>
      </c>
      <c r="J170" s="130"/>
      <c r="K170" s="116">
        <f t="shared" si="3"/>
        <v>25</v>
      </c>
    </row>
    <row r="171" spans="1:11" s="211" customFormat="1" ht="12.75" customHeight="1">
      <c r="A171" s="375"/>
      <c r="B171" s="213"/>
      <c r="C171" s="214"/>
      <c r="D171" s="109">
        <v>2219</v>
      </c>
      <c r="E171" s="215">
        <v>5169</v>
      </c>
      <c r="F171" s="99" t="s">
        <v>110</v>
      </c>
      <c r="G171" s="216" t="s">
        <v>32</v>
      </c>
      <c r="H171" s="219">
        <v>276</v>
      </c>
      <c r="I171" s="220">
        <f>276+153</f>
        <v>429</v>
      </c>
      <c r="J171" s="130"/>
      <c r="K171" s="116">
        <f t="shared" si="3"/>
        <v>429</v>
      </c>
    </row>
    <row r="172" spans="1:11" s="211" customFormat="1" ht="12.75" customHeight="1">
      <c r="A172" s="375"/>
      <c r="B172" s="213"/>
      <c r="C172" s="214"/>
      <c r="D172" s="109">
        <v>2219</v>
      </c>
      <c r="E172" s="221">
        <v>5173</v>
      </c>
      <c r="F172" s="99" t="s">
        <v>66</v>
      </c>
      <c r="G172" s="216" t="s">
        <v>68</v>
      </c>
      <c r="H172" s="140">
        <v>0</v>
      </c>
      <c r="I172" s="220">
        <v>2</v>
      </c>
      <c r="J172" s="130"/>
      <c r="K172" s="116">
        <f t="shared" si="3"/>
        <v>2</v>
      </c>
    </row>
    <row r="173" spans="1:11" s="211" customFormat="1" ht="12.75" customHeight="1">
      <c r="A173" s="375"/>
      <c r="B173" s="213"/>
      <c r="C173" s="214"/>
      <c r="D173" s="109">
        <v>2219</v>
      </c>
      <c r="E173" s="221">
        <v>5173</v>
      </c>
      <c r="F173" s="99" t="s">
        <v>67</v>
      </c>
      <c r="G173" s="216" t="s">
        <v>68</v>
      </c>
      <c r="H173" s="128">
        <v>0</v>
      </c>
      <c r="I173" s="220">
        <v>1</v>
      </c>
      <c r="J173" s="130"/>
      <c r="K173" s="116">
        <f t="shared" si="3"/>
        <v>1</v>
      </c>
    </row>
    <row r="174" spans="1:11" s="211" customFormat="1" ht="12.75" customHeight="1">
      <c r="A174" s="375"/>
      <c r="B174" s="213"/>
      <c r="C174" s="214"/>
      <c r="D174" s="109">
        <v>2219</v>
      </c>
      <c r="E174" s="221">
        <v>5173</v>
      </c>
      <c r="F174" s="99" t="s">
        <v>110</v>
      </c>
      <c r="G174" s="222" t="s">
        <v>68</v>
      </c>
      <c r="H174" s="128">
        <v>0</v>
      </c>
      <c r="I174" s="220">
        <v>17</v>
      </c>
      <c r="J174" s="130"/>
      <c r="K174" s="116">
        <f t="shared" si="3"/>
        <v>17</v>
      </c>
    </row>
    <row r="175" spans="1:11" s="211" customFormat="1" ht="12.75" customHeight="1">
      <c r="A175" s="375"/>
      <c r="B175" s="213"/>
      <c r="C175" s="214"/>
      <c r="D175" s="109">
        <v>2219</v>
      </c>
      <c r="E175" s="221">
        <v>5175</v>
      </c>
      <c r="F175" s="99" t="s">
        <v>66</v>
      </c>
      <c r="G175" s="222" t="s">
        <v>33</v>
      </c>
      <c r="H175" s="140">
        <v>2</v>
      </c>
      <c r="I175" s="101">
        <v>2</v>
      </c>
      <c r="J175" s="130"/>
      <c r="K175" s="116">
        <f t="shared" si="3"/>
        <v>2</v>
      </c>
    </row>
    <row r="176" spans="1:11" ht="12.75" customHeight="1">
      <c r="A176" s="375"/>
      <c r="B176" s="213"/>
      <c r="C176" s="214"/>
      <c r="D176" s="109">
        <v>2219</v>
      </c>
      <c r="E176" s="215">
        <v>5175</v>
      </c>
      <c r="F176" s="118" t="s">
        <v>67</v>
      </c>
      <c r="G176" s="222" t="s">
        <v>33</v>
      </c>
      <c r="H176" s="128">
        <v>1</v>
      </c>
      <c r="I176" s="113">
        <v>1</v>
      </c>
      <c r="J176" s="130"/>
      <c r="K176" s="116">
        <f t="shared" si="3"/>
        <v>1</v>
      </c>
    </row>
    <row r="177" spans="1:11" s="211" customFormat="1" ht="12.75" customHeight="1" thickBot="1">
      <c r="A177" s="375"/>
      <c r="B177" s="223"/>
      <c r="C177" s="224"/>
      <c r="D177" s="121">
        <v>2219</v>
      </c>
      <c r="E177" s="225">
        <v>5175</v>
      </c>
      <c r="F177" s="123" t="s">
        <v>110</v>
      </c>
      <c r="G177" s="201" t="s">
        <v>33</v>
      </c>
      <c r="H177" s="125">
        <v>17</v>
      </c>
      <c r="I177" s="124">
        <v>17</v>
      </c>
      <c r="J177" s="160"/>
      <c r="K177" s="161">
        <f t="shared" si="3"/>
        <v>17</v>
      </c>
    </row>
    <row r="178" spans="1:11" s="182" customFormat="1" ht="12" customHeight="1">
      <c r="A178" s="375"/>
      <c r="B178" s="180" t="s">
        <v>4</v>
      </c>
      <c r="C178" s="89" t="s">
        <v>219</v>
      </c>
      <c r="D178" s="104"/>
      <c r="E178" s="105" t="s">
        <v>2</v>
      </c>
      <c r="F178" s="106"/>
      <c r="G178" s="181" t="s">
        <v>220</v>
      </c>
      <c r="H178" s="168">
        <f>SUM(H179:H179)</f>
        <v>0</v>
      </c>
      <c r="I178" s="168">
        <f>SUM(I179:I179)</f>
        <v>0</v>
      </c>
      <c r="J178" s="168">
        <f>SUM(J179:J179)</f>
        <v>0</v>
      </c>
      <c r="K178" s="168">
        <f>SUM(K179:K179)</f>
        <v>0</v>
      </c>
    </row>
    <row r="179" spans="1:11" s="182" customFormat="1" ht="12" customHeight="1" thickBot="1">
      <c r="A179" s="375"/>
      <c r="B179" s="197"/>
      <c r="C179" s="157"/>
      <c r="D179" s="121">
        <v>2212</v>
      </c>
      <c r="E179" s="122">
        <v>5901</v>
      </c>
      <c r="F179" s="123" t="s">
        <v>46</v>
      </c>
      <c r="G179" s="196" t="s">
        <v>150</v>
      </c>
      <c r="H179" s="124">
        <v>0</v>
      </c>
      <c r="I179" s="124">
        <v>0</v>
      </c>
      <c r="J179" s="124"/>
      <c r="K179" s="226">
        <f>I179+J179</f>
        <v>0</v>
      </c>
    </row>
    <row r="180" spans="1:11" ht="12.75">
      <c r="A180" s="375"/>
      <c r="B180" s="180" t="s">
        <v>4</v>
      </c>
      <c r="C180" s="89" t="s">
        <v>221</v>
      </c>
      <c r="D180" s="104"/>
      <c r="E180" s="105" t="s">
        <v>2</v>
      </c>
      <c r="F180" s="106"/>
      <c r="G180" s="181" t="s">
        <v>222</v>
      </c>
      <c r="H180" s="94">
        <f>SUM(H181:H183)</f>
        <v>0</v>
      </c>
      <c r="I180" s="94">
        <f>SUM(I181:I183)</f>
        <v>3000</v>
      </c>
      <c r="J180" s="94">
        <f>SUM(J181:J183)</f>
        <v>0</v>
      </c>
      <c r="K180" s="94">
        <f>SUM(K181:K183)</f>
        <v>3000</v>
      </c>
    </row>
    <row r="181" spans="1:11" ht="12.75">
      <c r="A181" s="375"/>
      <c r="B181" s="227"/>
      <c r="C181" s="214"/>
      <c r="D181" s="148">
        <v>2212</v>
      </c>
      <c r="E181" s="98">
        <v>6351</v>
      </c>
      <c r="F181" s="99" t="s">
        <v>66</v>
      </c>
      <c r="G181" s="228" t="s">
        <v>35</v>
      </c>
      <c r="H181" s="140">
        <v>0</v>
      </c>
      <c r="I181" s="130">
        <v>300</v>
      </c>
      <c r="J181" s="130"/>
      <c r="K181" s="116">
        <f>I181+J181</f>
        <v>300</v>
      </c>
    </row>
    <row r="182" spans="1:11" ht="12.75">
      <c r="A182" s="375"/>
      <c r="B182" s="227"/>
      <c r="C182" s="214"/>
      <c r="D182" s="148">
        <v>2212</v>
      </c>
      <c r="E182" s="110">
        <v>6351</v>
      </c>
      <c r="F182" s="118" t="s">
        <v>64</v>
      </c>
      <c r="G182" s="229" t="s">
        <v>35</v>
      </c>
      <c r="H182" s="140">
        <v>0</v>
      </c>
      <c r="I182" s="130">
        <v>150</v>
      </c>
      <c r="J182" s="130"/>
      <c r="K182" s="116">
        <f>I182+J182</f>
        <v>150</v>
      </c>
    </row>
    <row r="183" spans="1:11" ht="13.5" thickBot="1">
      <c r="A183" s="376"/>
      <c r="B183" s="174"/>
      <c r="C183" s="230"/>
      <c r="D183" s="231">
        <v>2212</v>
      </c>
      <c r="E183" s="122">
        <v>6351</v>
      </c>
      <c r="F183" s="123" t="s">
        <v>65</v>
      </c>
      <c r="G183" s="62" t="s">
        <v>35</v>
      </c>
      <c r="H183" s="125">
        <v>0</v>
      </c>
      <c r="I183" s="124">
        <v>2550</v>
      </c>
      <c r="J183" s="124"/>
      <c r="K183" s="161">
        <f>I183+J183</f>
        <v>2550</v>
      </c>
    </row>
  </sheetData>
  <sheetProtection/>
  <mergeCells count="13">
    <mergeCell ref="F5:F6"/>
    <mergeCell ref="G5:G6"/>
    <mergeCell ref="H5:H6"/>
    <mergeCell ref="A7:A183"/>
    <mergeCell ref="A1:K1"/>
    <mergeCell ref="A3:K3"/>
    <mergeCell ref="A5:A6"/>
    <mergeCell ref="B5:B6"/>
    <mergeCell ref="C5:C6"/>
    <mergeCell ref="D5:D6"/>
    <mergeCell ref="E5:E6"/>
    <mergeCell ref="J5:K5"/>
    <mergeCell ref="I5:I6"/>
  </mergeCells>
  <printOptions horizontalCentered="1"/>
  <pageMargins left="0.1968503937007874" right="0.1968503937007874" top="0.3937007874015748" bottom="0.3937007874015748" header="0" footer="0"/>
  <pageSetup fitToHeight="2" horizontalDpi="600" verticalDpi="600" orientation="portrait" paperSize="9" scale="90" r:id="rId1"/>
  <headerFooter alignWithMargins="0">
    <oddHeader>&amp;R&amp;F</oddHeader>
    <oddFooter>&amp;C&amp;A</oddFooter>
  </headerFooter>
  <rowBreaks count="2" manualBreakCount="2">
    <brk id="64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2014-08-13T13:24:05Z</cp:lastPrinted>
  <dcterms:created xsi:type="dcterms:W3CDTF">2006-09-25T08:49:57Z</dcterms:created>
  <dcterms:modified xsi:type="dcterms:W3CDTF">2014-08-13T13:24:08Z</dcterms:modified>
  <cp:category/>
  <cp:version/>
  <cp:contentType/>
  <cp:contentStatus/>
</cp:coreProperties>
</file>