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Bilance P+V" sheetId="1" r:id="rId1"/>
    <sheet name="příjmy OD" sheetId="2" r:id="rId2"/>
    <sheet name="92006" sheetId="3" r:id="rId3"/>
    <sheet name="92306" sheetId="4" r:id="rId4"/>
  </sheets>
  <definedNames>
    <definedName name="_xlnm.Print_Titles" localSheetId="2">'92006'!$7:$8</definedName>
    <definedName name="_xlnm.Print_Titles" localSheetId="3">'92306'!$7:$8</definedName>
    <definedName name="_xlnm.Print_Titles" localSheetId="1">'příjmy OD'!$5:$6</definedName>
  </definedNames>
  <calcPr fullCalcOnLoad="1"/>
</workbook>
</file>

<file path=xl/sharedStrings.xml><?xml version="1.0" encoding="utf-8"?>
<sst xmlns="http://schemas.openxmlformats.org/spreadsheetml/2006/main" count="1503" uniqueCount="435">
  <si>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</si>
  <si>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</si>
  <si>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</si>
  <si>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</si>
  <si>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</si>
  <si>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</si>
  <si>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</si>
  <si>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</si>
  <si>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</si>
  <si>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</si>
  <si>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</si>
  <si>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</si>
  <si>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</si>
  <si>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</si>
  <si>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</si>
  <si>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</si>
  <si>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</si>
  <si>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</si>
  <si>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</si>
  <si>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</si>
  <si>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</si>
  <si>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</si>
  <si>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</si>
  <si>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</si>
  <si>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</si>
  <si>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</si>
  <si>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</si>
  <si>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DU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</si>
  <si>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</si>
  <si>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</si>
  <si>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</si>
  <si>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</si>
  <si>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</si>
  <si>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</si>
  <si>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</si>
  <si>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</si>
  <si>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</si>
  <si>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</si>
  <si>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</si>
  <si>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</si>
  <si>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</si>
  <si>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</si>
  <si>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</si>
  <si>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</si>
  <si>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</si>
  <si>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</si>
  <si>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</si>
  <si>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</si>
  <si>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</si>
  <si>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>Kap.935-grantový fond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</si>
  <si>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</si>
  <si>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</si>
  <si>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</si>
  <si>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</si>
  <si>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</si>
  <si>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</si>
  <si>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</si>
  <si>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</si>
  <si>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</si>
  <si>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</si>
  <si>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</si>
  <si>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 xml:space="preserve">   neinv. dotace ze zahraničí</t>
  </si>
  <si>
    <t>415x</t>
  </si>
  <si>
    <t xml:space="preserve">    investiční dotace ze zahraničí</t>
  </si>
  <si>
    <t>06</t>
  </si>
  <si>
    <t>nákup ostatních služeb</t>
  </si>
  <si>
    <t>nákup materiálu</t>
  </si>
  <si>
    <t>Kap.926-dotační fond</t>
  </si>
  <si>
    <t>Kap.917-transfery</t>
  </si>
  <si>
    <t>ZDROJOVÁ  A VÝDAJOVÁ ČÁST ROZPOČTU LK 2015</t>
  </si>
  <si>
    <t>SR 2015</t>
  </si>
  <si>
    <t>UR I 2015</t>
  </si>
  <si>
    <t>UR II 2015</t>
  </si>
  <si>
    <t>1. Zapojení fondů z r. 2014</t>
  </si>
  <si>
    <t>2. Zapojení  zákl. běžného účtu z r. 2014</t>
  </si>
  <si>
    <t>3. úvěr</t>
  </si>
  <si>
    <t>4. uhrazené splátky krátkod.půjč.</t>
  </si>
  <si>
    <t>Příjmy a finanční zdroje odboru dopravy 2015</t>
  </si>
  <si>
    <t>Přijaté transfery (dotace a příspěvky) a zdroje (financování)</t>
  </si>
  <si>
    <t>tis.Kč</t>
  </si>
  <si>
    <t>ORJ</t>
  </si>
  <si>
    <t>ÚZ</t>
  </si>
  <si>
    <t>P Ř Í J M Y   A  T R A N S F E R Y   2 0 1 5</t>
  </si>
  <si>
    <t>příjmy celkem</t>
  </si>
  <si>
    <t>A1) vlastní příjmy - daňové příjmy</t>
  </si>
  <si>
    <t>0006</t>
  </si>
  <si>
    <t>příjmy z licencí pro kamionovou dopravu</t>
  </si>
  <si>
    <t>správní poplatky</t>
  </si>
  <si>
    <t>A2) vlastní příjmy - nedaňové příjmy</t>
  </si>
  <si>
    <t>věcná břemena</t>
  </si>
  <si>
    <t>kauce a sankční platby</t>
  </si>
  <si>
    <t>1306</t>
  </si>
  <si>
    <t>0689951601</t>
  </si>
  <si>
    <t>Krajská správa silnic LK p.o. - realizace příkazní smlouvy Silnice LK a.s. na ZIMNÍ ÚDRŽBU 2014</t>
  </si>
  <si>
    <t>ostatní přijaté vratky transferů</t>
  </si>
  <si>
    <t>2006</t>
  </si>
  <si>
    <t>0690741601</t>
  </si>
  <si>
    <t>KSS LK - projektová dokumentace - povodňové škody 2013</t>
  </si>
  <si>
    <t>přijaté nekapitálové příspěvky a náhrady</t>
  </si>
  <si>
    <t>náklady řízení</t>
  </si>
  <si>
    <t>2306</t>
  </si>
  <si>
    <t>ROP 5 - Rekonstrukce silnice III/29024 Jablonec n.N. - ul.Želivského</t>
  </si>
  <si>
    <t>A3) vlastní příjmy - kapitálové příjmy</t>
  </si>
  <si>
    <t>prodej pozemků</t>
  </si>
  <si>
    <t>prodej nemovitostí</t>
  </si>
  <si>
    <t>41xx</t>
  </si>
  <si>
    <t>B1) Dotace a příspěvky - neinvestiční</t>
  </si>
  <si>
    <t>Povodně 2013 - krytí škod v dopravní infastruktuře</t>
  </si>
  <si>
    <t>91252</t>
  </si>
  <si>
    <t>neinvestiční přijaté transfery ze státních fondů</t>
  </si>
  <si>
    <t>Financování silnic II. a III. třídy ve vlastnictví kraje</t>
  </si>
  <si>
    <t>0682320000</t>
  </si>
  <si>
    <t>III/03513 – Dětřichov, havárie silničního tělesa</t>
  </si>
  <si>
    <t>49595029</t>
  </si>
  <si>
    <t>neinvestiční převody z Národního fondu</t>
  </si>
  <si>
    <t>0682510000</t>
  </si>
  <si>
    <t>III/0357 Předlánce, havárie propustku</t>
  </si>
  <si>
    <t>0682570000</t>
  </si>
  <si>
    <t>III/29011 Raspenava, havárie silnice</t>
  </si>
  <si>
    <t>0682580000</t>
  </si>
  <si>
    <t>III/2916 Hajniště, havárie propustku</t>
  </si>
  <si>
    <t>0682590000</t>
  </si>
  <si>
    <t>III/2904 Oldřichov v H., havárie propustku, p.k. 111</t>
  </si>
  <si>
    <t>0682600000</t>
  </si>
  <si>
    <t>III/2904 Oldřichov v H., havárie propustku, p.k. 110</t>
  </si>
  <si>
    <t>0682610000</t>
  </si>
  <si>
    <t>III/2904 Oldřichov v H., havárie propustku, p.k. 28</t>
  </si>
  <si>
    <t>0682630000</t>
  </si>
  <si>
    <t>II/278 Hamr na Jezeře, havárie silnice</t>
  </si>
  <si>
    <t>0682640000</t>
  </si>
  <si>
    <t>II/278 Břevniště, havárie propustku</t>
  </si>
  <si>
    <t>0682650000</t>
  </si>
  <si>
    <t>III/26842 Rousínov, havárie propustku</t>
  </si>
  <si>
    <t>0682660000</t>
  </si>
  <si>
    <t>II/278 Stráž pod Ralskem, havárie silnice</t>
  </si>
  <si>
    <t>0682880000</t>
  </si>
  <si>
    <t>II/286 Dolní Štěpanice, havárie opěrné zdi</t>
  </si>
  <si>
    <t>0682910000</t>
  </si>
  <si>
    <t>III/2905 Mníšek, havárie propustku</t>
  </si>
  <si>
    <t>neinvestiční transfery přijaté od obcí</t>
  </si>
  <si>
    <t>42xx</t>
  </si>
  <si>
    <t>B2) Dotace a příspěvky - investiční</t>
  </si>
  <si>
    <t>Povodně - Obnova majetku po povodních - INV transfer MMR</t>
  </si>
  <si>
    <t>17789</t>
  </si>
  <si>
    <t>ostatní investiční přijaté transfery ze státního rozpočtu</t>
  </si>
  <si>
    <t>0650640000</t>
  </si>
  <si>
    <t>ROP 5 - Mosty na silnicích II. a III. tříd v okrese Jablonec nad Nisou</t>
  </si>
  <si>
    <t>38585505</t>
  </si>
  <si>
    <t>investiční přijaté transfery od regionálních rad</t>
  </si>
  <si>
    <t>0650650000</t>
  </si>
  <si>
    <t>ROP 5 - Mosty na silnicích II. tříd v okrese Semily</t>
  </si>
  <si>
    <t>0650660000</t>
  </si>
  <si>
    <t>ROP 5 - Přeložka komunikace II/592 Chrastava-III. etapa</t>
  </si>
  <si>
    <t>0650670000</t>
  </si>
  <si>
    <t>0650680000</t>
  </si>
  <si>
    <t>ROP 5 - Rekonstrukce silnice II/290 Desná - Černá Říčka</t>
  </si>
  <si>
    <t>0650690000</t>
  </si>
  <si>
    <t>ROP 5 - Rekonstrukce silnice III/29019 Horní Polubný - Kořenov</t>
  </si>
  <si>
    <t>0651130000</t>
  </si>
  <si>
    <t>ROP 6 - Rekonstrukce silnic III. třídy v Zásadě</t>
  </si>
  <si>
    <t>0651140000</t>
  </si>
  <si>
    <t>ROP 6 - Rekonstrukce silnice III/0381 Staré Splavy</t>
  </si>
  <si>
    <t>0651150000</t>
  </si>
  <si>
    <t>ROP 6 - Rekonstrukce silnice II/292 Háje nad Jizerou</t>
  </si>
  <si>
    <t>0651160000</t>
  </si>
  <si>
    <t>ROP 6 - Rekonstrukce silnice III/2907 ve Fojtce</t>
  </si>
  <si>
    <t>0651170000</t>
  </si>
  <si>
    <t>ROP 6 - Rekonstrukce silnic III. třídy v Rváčově a Syřenově</t>
  </si>
  <si>
    <t>0651190000</t>
  </si>
  <si>
    <t>ROP 6 - Rekonstrukce silnice II/286 Horní Mísečky</t>
  </si>
  <si>
    <t>0651210000</t>
  </si>
  <si>
    <t>ROP 6 - Rekonstrukce silnice III/27243 ve Zdislavě</t>
  </si>
  <si>
    <t>0651230000</t>
  </si>
  <si>
    <t>ROP 6 - Rekonstrukce silnice II/282 Loktuše - Loučky</t>
  </si>
  <si>
    <t>0690751601</t>
  </si>
  <si>
    <t>KSS LK - projektová dokumentace – opravy mostů v havarijním stavu</t>
  </si>
  <si>
    <t>Kapitola 923 06 - Spolufinancování EU</t>
  </si>
  <si>
    <t>Odbor dopravy</t>
  </si>
  <si>
    <t>S P O L U F I N A N C O V Á N Í   E U</t>
  </si>
  <si>
    <t>běžné a kapitálové výdaje resortu celkem</t>
  </si>
  <si>
    <t>ROP</t>
  </si>
  <si>
    <t>0650020000</t>
  </si>
  <si>
    <t>ROP - III/2784 Liberec-OK České mládeže</t>
  </si>
  <si>
    <t>00000000</t>
  </si>
  <si>
    <t>nákup dlouhodobého hmotného majetku jinde nezařazený</t>
  </si>
  <si>
    <t>0650420000</t>
  </si>
  <si>
    <t>ROP - III/28724 Malá Skála - Frýdštejn</t>
  </si>
  <si>
    <t>vypořádání minulých let mezi RRRS a krajem</t>
  </si>
  <si>
    <t>0650340000</t>
  </si>
  <si>
    <t>ROP - III/29023 Tanvald - ul. Nemocniční a Pod Špičákem</t>
  </si>
  <si>
    <t>stavba nebo rekonstrukce silnice</t>
  </si>
  <si>
    <t>0650341601</t>
  </si>
  <si>
    <t>investiční transfery zřízeným příspěvkovým organizacím</t>
  </si>
  <si>
    <t>0650540000</t>
  </si>
  <si>
    <t>ROP - II/270 Mimoň-humanizace průtahu a OK Tyršovo náměstí</t>
  </si>
  <si>
    <t>0650541601</t>
  </si>
  <si>
    <t>38585005</t>
  </si>
  <si>
    <t>budovy, haly a stavby</t>
  </si>
  <si>
    <t>0650760000</t>
  </si>
  <si>
    <t>IROP II/273 úsek hranice kraje - Okna - PD</t>
  </si>
  <si>
    <t>0650880000</t>
  </si>
  <si>
    <t>IROP II/270 Jablonné v Podještědí - PD</t>
  </si>
  <si>
    <t>0651090000</t>
  </si>
  <si>
    <t>OP EU - zpracování projektových žádostí ROP 6</t>
  </si>
  <si>
    <t>0651100000</t>
  </si>
  <si>
    <t>ROP 7 - Rekonstrukce silnice III/29015 Ludvíkov - Hajniště</t>
  </si>
  <si>
    <t>0651180000</t>
  </si>
  <si>
    <t>ROP 7 - Rekonstrukce silnice III/27015 v Jablonném v Podještědí</t>
  </si>
  <si>
    <t>0651220000</t>
  </si>
  <si>
    <t>0651240000</t>
  </si>
  <si>
    <t>PD IROP - II/268 Mimoň - hranice Libereckého kraje</t>
  </si>
  <si>
    <t>0651250000</t>
  </si>
  <si>
    <t>PD IROP - II/290 Roprachtice - Kořenov</t>
  </si>
  <si>
    <t>0651260000</t>
  </si>
  <si>
    <t>PD IROP - II/610 Turnov - hranice Libereckého kraje</t>
  </si>
  <si>
    <t>0659000000</t>
  </si>
  <si>
    <t>Vratky úroků RRRS z předfinancování 3. výzvy ROP</t>
  </si>
  <si>
    <t>ostatní neinvestiční výdaje jinde nezařazené</t>
  </si>
  <si>
    <t>0651270000</t>
  </si>
  <si>
    <t>IROP Okružní křižovatky II/292 a II/289 Semily, ulice Brodská, Bořkovská (vč. humanizace)</t>
  </si>
  <si>
    <t>Kapitola 920 06 - Kapitálové výdaje</t>
  </si>
  <si>
    <t>tis. Kč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</si>
  <si>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</si>
  <si>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</si>
  <si>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</si>
  <si>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</si>
  <si>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</si>
  <si>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</si>
  <si>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0690531601</t>
  </si>
  <si>
    <t>Telematika Mísečky</t>
  </si>
  <si>
    <t>0690620000</t>
  </si>
  <si>
    <t>silnice II/290 Frýdlant - Bílý Potok (I.etapa) - povodně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</si>
  <si>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</si>
  <si>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</si>
  <si>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</si>
  <si>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</si>
  <si>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</si>
  <si>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</si>
  <si>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0690681601</t>
  </si>
  <si>
    <t>přeložka ČEZ na akci „Rekonstrukce mostu Jablonec nad Nisou, nám. B. Němcové III/28733-1“</t>
  </si>
  <si>
    <t>0690690000</t>
  </si>
  <si>
    <t>Modernizace silnice Horka u Staré Paky – Dolní Branná</t>
  </si>
  <si>
    <t>ZJ 035</t>
  </si>
  <si>
    <t>investiční transfery krajům</t>
  </si>
  <si>
    <t>0690700000</t>
  </si>
  <si>
    <t>II/290 rekonstrukce opěrné zdi v km 12,5 - 12,6 a mostu 290-011 - povodně</t>
  </si>
  <si>
    <t>(UZ 17789)</t>
  </si>
  <si>
    <t>0690710000</t>
  </si>
  <si>
    <t>silnice II/290 Frýdlant - Bílý Potok (II. etapa) - povodně</t>
  </si>
  <si>
    <t>0690720000</t>
  </si>
  <si>
    <t>silnice II/592 Chrastava (II. etapa) - povodně</t>
  </si>
  <si>
    <t>0690730000</t>
  </si>
  <si>
    <t>silnice III/27252 Vítkov - povodně</t>
  </si>
  <si>
    <t>0690761601</t>
  </si>
  <si>
    <t>příprava a projektové dokumentace havarijních objektů a úseků silnic</t>
  </si>
  <si>
    <t>0690771601</t>
  </si>
  <si>
    <t>příprava a projektové dokumentace havarijních propustků</t>
  </si>
  <si>
    <t>neinvestiční transfery zřízeným příspěvkovým organizacím</t>
  </si>
  <si>
    <t>0690781601</t>
  </si>
  <si>
    <t>příprava a projektové dokumentace velkoplošných oprav silnic II. a III. tříd</t>
  </si>
  <si>
    <t>0690791601</t>
  </si>
  <si>
    <t>regulace provozu a výsprava cest v areálu bývalého vojenského letiště Hradčany</t>
  </si>
  <si>
    <t>Povodně 2013 - SFDI</t>
  </si>
  <si>
    <t>0682280000</t>
  </si>
  <si>
    <t>opravy silnic II. a III. tříd včetně opěrných zdí</t>
  </si>
  <si>
    <t>nespecifikované rezervy</t>
  </si>
  <si>
    <t>(ÚZ 91252)</t>
  </si>
  <si>
    <t>0682340000</t>
  </si>
  <si>
    <t>III/26839 Kunratice u Cvikova, havárie opěrné zdi</t>
  </si>
  <si>
    <t>0682350000</t>
  </si>
  <si>
    <t>III/26841 Cvikov, havárie opěrné zdi</t>
  </si>
  <si>
    <t>0682360000</t>
  </si>
  <si>
    <t>III/26836 Lindava, havárie opěrné zdi</t>
  </si>
  <si>
    <t>0682370000</t>
  </si>
  <si>
    <t>III/26314 Prysk, havárie opěrné zdi</t>
  </si>
  <si>
    <t>opravy a udržování</t>
  </si>
  <si>
    <t>0682390000</t>
  </si>
  <si>
    <t>III/2627 Volfartice, havárie opěrné zdi a propustku</t>
  </si>
  <si>
    <t>0682400000</t>
  </si>
  <si>
    <t>III/2628 Skalice u České Lípy, havárie opěrné zdi</t>
  </si>
  <si>
    <t>0682460000</t>
  </si>
  <si>
    <t>III/2914 Bulovka, havárie opěrné zdi</t>
  </si>
  <si>
    <t>0682500000</t>
  </si>
  <si>
    <t>III/0353 Černousy, havárie propustku</t>
  </si>
  <si>
    <t>0682530000</t>
  </si>
  <si>
    <t>III/0357 Pertoltice, havárie propustku</t>
  </si>
  <si>
    <t>0682680000</t>
  </si>
  <si>
    <t>III/2627 Horní Libchava, havárie propustku</t>
  </si>
  <si>
    <t>0682690000</t>
  </si>
  <si>
    <t>592-008 Kryštofovo Údolí, havárie mostu</t>
  </si>
  <si>
    <t>0682700000</t>
  </si>
  <si>
    <t>592-010 Kryštofovo Údolí, havárie mostu</t>
  </si>
  <si>
    <t>0682710000</t>
  </si>
  <si>
    <t>27241-1 Křižany, havárie mostu</t>
  </si>
  <si>
    <t>0682720000</t>
  </si>
  <si>
    <t>2713-5 Chotyně, havárie mostu</t>
  </si>
  <si>
    <t>0682730000</t>
  </si>
  <si>
    <t>III/27241 Křižany, havárie opěrné zdi, p.k. 76</t>
  </si>
  <si>
    <t>0682740000</t>
  </si>
  <si>
    <t>III/27241 Křižany, havárie opěrné zdi, p.k. 77</t>
  </si>
  <si>
    <t>0682750000</t>
  </si>
  <si>
    <t>III/27241 Křižany, havárie opěrné zdi, p.k. 78</t>
  </si>
  <si>
    <t>0682760000</t>
  </si>
  <si>
    <t>III/27243 Zdislava, havárie opěrné zdi</t>
  </si>
  <si>
    <t>0682770000</t>
  </si>
  <si>
    <t>II/592 Kryštofovo Údolí, havárie opěrné zdi, p.k. 58</t>
  </si>
  <si>
    <t>0682780000</t>
  </si>
  <si>
    <t>II/592 Kryštofovo Údolí, havárie opěrné zdi, p.k. 61</t>
  </si>
  <si>
    <t>0682940000</t>
  </si>
  <si>
    <t>II/592 Křižany, havárie silnice</t>
  </si>
  <si>
    <t>0682950000</t>
  </si>
  <si>
    <t>III/27241 Žibřidice, havárie silnice</t>
  </si>
  <si>
    <t>0682990000</t>
  </si>
  <si>
    <t>III/2784 Ještěd, havárie silnice (065a + 065b)</t>
  </si>
  <si>
    <t>0684000000</t>
  </si>
  <si>
    <t>III/27253 Nová Ves - Mlýnice - havárie silnice</t>
  </si>
  <si>
    <t>Financování silnic II. a III. třídy ve vlastnictví kraje - SFDI</t>
  </si>
  <si>
    <t>0683330000</t>
  </si>
  <si>
    <t>opravy silnic II. a III. tříd</t>
  </si>
  <si>
    <t>(ÚZ 91628)</t>
  </si>
  <si>
    <t>0683340000</t>
  </si>
  <si>
    <t>III/2719 Hrádek n. N. - Oldřichov na Hranicích</t>
  </si>
  <si>
    <t>0683350000</t>
  </si>
  <si>
    <t>III/27110 Oldřichov na Hranicích</t>
  </si>
  <si>
    <t>0683360000</t>
  </si>
  <si>
    <t>II/263 Heřmanice</t>
  </si>
  <si>
    <t>0683370000</t>
  </si>
  <si>
    <t>II/288 Podbozkov - Cimbál</t>
  </si>
  <si>
    <t>0683380000</t>
  </si>
  <si>
    <t>III/29011 Ludvíkov - Nové Město p. Smrkem</t>
  </si>
  <si>
    <t>0683390000</t>
  </si>
  <si>
    <t>III/29013 a III/29015 Raspenava - Hajniště</t>
  </si>
  <si>
    <t>0683400000</t>
  </si>
  <si>
    <t>III/03520 Dlouhý Most - Javorník</t>
  </si>
  <si>
    <t>0683410000</t>
  </si>
  <si>
    <t>II/270 Doksy - Mimoň</t>
  </si>
  <si>
    <t>0683420000</t>
  </si>
  <si>
    <t>III/26318 od I/13 - Polevsko</t>
  </si>
  <si>
    <t>0683430000</t>
  </si>
  <si>
    <t>III/26317 Prysk - křižovatka s III/26318</t>
  </si>
  <si>
    <t>0683440000</t>
  </si>
  <si>
    <t>III/27019, úsek od křiž. s I/13 po křiž. s III/27014</t>
  </si>
  <si>
    <t>0683450000</t>
  </si>
  <si>
    <t>II/270 úsek od úrov. přejezdu po křiž. s I/13</t>
  </si>
  <si>
    <t>0683460000</t>
  </si>
  <si>
    <t>III/27015 Jablonné v Podještědí</t>
  </si>
  <si>
    <t>0683470000</t>
  </si>
  <si>
    <t>III/28721 Malá Skála - Sněhov</t>
  </si>
  <si>
    <t>0683480000</t>
  </si>
  <si>
    <t>III/28115 Troskovice (Krčák, Vidlák)</t>
  </si>
  <si>
    <t>0683490000</t>
  </si>
  <si>
    <t>III/28116 Borek - Troskovice</t>
  </si>
  <si>
    <t>0683500000</t>
  </si>
  <si>
    <t>III/28115 hranice LB kraje - Troskovice</t>
  </si>
  <si>
    <t>0683510000</t>
  </si>
  <si>
    <t>III/2892 Semily - Bítouchov</t>
  </si>
  <si>
    <t>0683520000</t>
  </si>
  <si>
    <t>III/2923 Chuchelna</t>
  </si>
  <si>
    <t>0683530000</t>
  </si>
  <si>
    <t>III/29022 Josefův Důl</t>
  </si>
  <si>
    <t>0683540000</t>
  </si>
  <si>
    <t>III/29022 Bedřichov - Hrabětice</t>
  </si>
  <si>
    <t>0683550000</t>
  </si>
  <si>
    <t>III/29022 Hrabětice - Josefův Důl</t>
  </si>
  <si>
    <t>0683560000</t>
  </si>
  <si>
    <t>III/28043 Lomnice nad Popelkou - Rváčov - Bítouchov</t>
  </si>
  <si>
    <t>0683570000</t>
  </si>
  <si>
    <t>III/25935 hranice kraje LB - hranice kraje SČ</t>
  </si>
  <si>
    <t>0683580000</t>
  </si>
  <si>
    <t>Projektový manažer (supervize) při přípravě PD - Západ</t>
  </si>
  <si>
    <t>0683590000</t>
  </si>
  <si>
    <t>Projektový manažer (supervize) při přípravě PD - Východ</t>
  </si>
  <si>
    <t>0683600000</t>
  </si>
  <si>
    <t>290-016 - most přes Smědou za obcí Bílý Potok</t>
  </si>
  <si>
    <t>0683610000</t>
  </si>
  <si>
    <t>II/277 Podhora - havárie silnice</t>
  </si>
  <si>
    <t>0683620000</t>
  </si>
  <si>
    <t>II/291 Hajniště - havárie propustku</t>
  </si>
  <si>
    <t>0683630000</t>
  </si>
  <si>
    <t>III/2631 Kravaře - hranice kraje</t>
  </si>
  <si>
    <t>0683640000</t>
  </si>
  <si>
    <t>III/2711 Bílý Kostel nad Nisou - rekonstrukce silnice</t>
  </si>
  <si>
    <t>0683650000</t>
  </si>
  <si>
    <t>III/2713 Václavice, oprava svahu</t>
  </si>
  <si>
    <t>0683660000</t>
  </si>
  <si>
    <t>III/27242 Křižany - Zdislava</t>
  </si>
  <si>
    <t>0683670000</t>
  </si>
  <si>
    <t>III/27716 Český Dub - havárie propustku</t>
  </si>
  <si>
    <t>0683680000</t>
  </si>
  <si>
    <t>III/28315 Turnov, zajištění stability svahu</t>
  </si>
  <si>
    <t>0683690000</t>
  </si>
  <si>
    <t>III/28619 Peřimov</t>
  </si>
  <si>
    <t>0683700000</t>
  </si>
  <si>
    <t>III/28621 Víchová nad Jizerou - oprava čela propustku</t>
  </si>
  <si>
    <t>0683710000</t>
  </si>
  <si>
    <t>III/28713 Radoňovice, sesuv svahu</t>
  </si>
  <si>
    <t>0683720000</t>
  </si>
  <si>
    <t>III/2887 Bozkov II. etapa - rekonstrukce silnice</t>
  </si>
  <si>
    <t>0683730000</t>
  </si>
  <si>
    <t>III/2903 Frýdlant - ulice Zámecká, havárie propustku</t>
  </si>
  <si>
    <t>0683740000</t>
  </si>
  <si>
    <t>III/29037 Lučany - Horní Lučany</t>
  </si>
  <si>
    <t>0683750000</t>
  </si>
  <si>
    <t xml:space="preserve">III/29042 Tanvald - havárie propustku </t>
  </si>
  <si>
    <t>0683760000</t>
  </si>
  <si>
    <t>III/29056 Paseky nad Jizerou</t>
  </si>
  <si>
    <t>0683770000</t>
  </si>
  <si>
    <t>III/3527 Žďárek - sesuv svahu</t>
  </si>
  <si>
    <t>0683780000</t>
  </si>
  <si>
    <t>most přes Tampelačku u žst. Roztoky u Jilemnice 28614-7</t>
  </si>
  <si>
    <t>0683790000</t>
  </si>
  <si>
    <t>III/28713 Hodkovice, podjezd pod mostem SŽDC</t>
  </si>
  <si>
    <t>0683800000</t>
  </si>
  <si>
    <t>III/27921 Vyskeř - havárie propustku</t>
  </si>
  <si>
    <t>0683810000</t>
  </si>
  <si>
    <t>most ev.č. 270-013 - přes potok u Postřelné</t>
  </si>
  <si>
    <t>0683820000</t>
  </si>
  <si>
    <t>II/268 Bohatice, vjezdový ostrůvek</t>
  </si>
  <si>
    <t>0683830000</t>
  </si>
  <si>
    <t>II/268 Mimoň - oprava silnice nám. 1. máje</t>
  </si>
  <si>
    <t>0683840000</t>
  </si>
  <si>
    <t>II/268 Svojkov, deformace tělesa komunikace</t>
  </si>
  <si>
    <t>0683850000</t>
  </si>
  <si>
    <t>II/290 Smědava, havárie propustku</t>
  </si>
  <si>
    <t>0683860000</t>
  </si>
  <si>
    <t>III/2711 Hrádek n. N. - odvodnění Donínská</t>
  </si>
  <si>
    <t>0683870000</t>
  </si>
  <si>
    <t>III/2702 Drchlava</t>
  </si>
  <si>
    <t>0683880000</t>
  </si>
  <si>
    <t>III/2791 Radimovice - R35 (zámek Sychrov)</t>
  </si>
  <si>
    <t>14.změna-RO č. 168/15</t>
  </si>
  <si>
    <t>Změna rozpočtu - rozpočtové opatření č. 168/15</t>
  </si>
  <si>
    <t>8.změna-RO č. 168/15</t>
  </si>
  <si>
    <t>ROP 7 - Rekonstrukce silnic III. třídy v Bedřichově</t>
  </si>
  <si>
    <t>rezervy kapitálových výdajů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</si>
</sst>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sz val="8"/>
      <color indexed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8"/>
      <color indexed="10"/>
      <name val="Arial"/>
      <family val="2"/>
    </font>
    <font>
      <b/>
      <sz val="8"/>
      <color indexed="10"/>
      <name val="Arial CE"/>
      <family val="0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  <font>
      <b/>
      <sz val="8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/>
      <bottom/>
    </border>
    <border>
      <left/>
      <right/>
      <top style="thin"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569">
    <xf numFmtId="0" fontId="0" fillId="0" borderId="0" xfId="0" applyAlignment="1">
      <alignment/>
    </xf>
    <xf numFmtId="4" fontId="1" fillId="0" borderId="10" xfId="52" applyNumberFormat="1" applyFont="1" applyFill="1" applyBorder="1" applyAlignment="1">
      <alignment vertical="center"/>
      <protection/>
    </xf>
    <xf numFmtId="4" fontId="1" fillId="0" borderId="11" xfId="52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0" fontId="9" fillId="0" borderId="20" xfId="0" applyFont="1" applyBorder="1" applyAlignment="1">
      <alignment vertical="center" wrapText="1"/>
    </xf>
    <xf numFmtId="0" fontId="9" fillId="0" borderId="11" xfId="0" applyFont="1" applyBorder="1" applyAlignment="1">
      <alignment horizontal="right" vertical="center" wrapText="1"/>
    </xf>
    <xf numFmtId="4" fontId="9" fillId="0" borderId="21" xfId="0" applyNumberFormat="1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vertical="center" wrapText="1"/>
    </xf>
    <xf numFmtId="4" fontId="9" fillId="0" borderId="20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right" vertical="center" wrapText="1"/>
    </xf>
    <xf numFmtId="4" fontId="9" fillId="0" borderId="29" xfId="0" applyNumberFormat="1" applyFont="1" applyBorder="1" applyAlignment="1">
      <alignment horizontal="right" vertical="center" wrapText="1"/>
    </xf>
    <xf numFmtId="4" fontId="9" fillId="0" borderId="29" xfId="0" applyNumberFormat="1" applyFont="1" applyFill="1" applyBorder="1" applyAlignment="1">
      <alignment horizontal="right" vertical="center" wrapText="1"/>
    </xf>
    <xf numFmtId="4" fontId="9" fillId="0" borderId="30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right" vertical="center" wrapText="1"/>
    </xf>
    <xf numFmtId="171" fontId="7" fillId="0" borderId="0" xfId="0" applyNumberFormat="1" applyFont="1" applyAlignment="1">
      <alignment vertical="center"/>
    </xf>
    <xf numFmtId="0" fontId="8" fillId="0" borderId="27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right" vertical="center" wrapText="1"/>
    </xf>
    <xf numFmtId="4" fontId="1" fillId="0" borderId="11" xfId="53" applyNumberFormat="1" applyFont="1" applyFill="1" applyBorder="1" applyAlignment="1">
      <alignment vertical="center"/>
      <protection/>
    </xf>
    <xf numFmtId="4" fontId="1" fillId="0" borderId="10" xfId="53" applyNumberFormat="1" applyFont="1" applyFill="1" applyBorder="1" applyAlignment="1">
      <alignment vertical="center"/>
      <protection/>
    </xf>
    <xf numFmtId="0" fontId="30" fillId="0" borderId="0" xfId="52" applyFont="1" applyFill="1" applyAlignment="1">
      <alignment horizontal="center" vertical="center"/>
      <protection/>
    </xf>
    <xf numFmtId="0" fontId="0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31" xfId="0" applyFont="1" applyFill="1" applyBorder="1" applyAlignment="1">
      <alignment horizontal="center" vertical="center"/>
    </xf>
    <xf numFmtId="0" fontId="4" fillId="0" borderId="13" xfId="52" applyFont="1" applyFill="1" applyBorder="1" applyAlignment="1">
      <alignment horizontal="center" vertical="center"/>
      <protection/>
    </xf>
    <xf numFmtId="49" fontId="4" fillId="0" borderId="27" xfId="52" applyNumberFormat="1" applyFont="1" applyFill="1" applyBorder="1" applyAlignment="1">
      <alignment horizontal="center" vertical="center"/>
      <protection/>
    </xf>
    <xf numFmtId="0" fontId="4" fillId="0" borderId="32" xfId="52" applyFont="1" applyFill="1" applyBorder="1" applyAlignment="1">
      <alignment horizontal="center" vertical="center"/>
      <protection/>
    </xf>
    <xf numFmtId="49" fontId="4" fillId="0" borderId="26" xfId="52" applyNumberFormat="1" applyFont="1" applyFill="1" applyBorder="1" applyAlignment="1">
      <alignment horizontal="center" vertical="center"/>
      <protection/>
    </xf>
    <xf numFmtId="0" fontId="4" fillId="0" borderId="26" xfId="52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4" fontId="4" fillId="0" borderId="33" xfId="52" applyNumberFormat="1" applyFont="1" applyFill="1" applyBorder="1" applyAlignment="1">
      <alignment vertical="center"/>
      <protection/>
    </xf>
    <xf numFmtId="4" fontId="4" fillId="0" borderId="13" xfId="52" applyNumberFormat="1" applyFont="1" applyFill="1" applyBorder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49" fontId="4" fillId="24" borderId="27" xfId="52" applyNumberFormat="1" applyFont="1" applyFill="1" applyBorder="1" applyAlignment="1">
      <alignment horizontal="center" vertical="center"/>
      <protection/>
    </xf>
    <xf numFmtId="0" fontId="4" fillId="24" borderId="32" xfId="52" applyFont="1" applyFill="1" applyBorder="1" applyAlignment="1">
      <alignment horizontal="center" vertical="center"/>
      <protection/>
    </xf>
    <xf numFmtId="49" fontId="4" fillId="24" borderId="26" xfId="52" applyNumberFormat="1" applyFont="1" applyFill="1" applyBorder="1" applyAlignment="1">
      <alignment horizontal="center" vertical="center"/>
      <protection/>
    </xf>
    <xf numFmtId="0" fontId="4" fillId="24" borderId="26" xfId="52" applyFont="1" applyFill="1" applyBorder="1" applyAlignment="1">
      <alignment horizontal="center" vertical="center"/>
      <protection/>
    </xf>
    <xf numFmtId="49" fontId="4" fillId="24" borderId="14" xfId="52" applyNumberFormat="1" applyFont="1" applyFill="1" applyBorder="1" applyAlignment="1">
      <alignment horizontal="center" vertical="center"/>
      <protection/>
    </xf>
    <xf numFmtId="0" fontId="4" fillId="24" borderId="15" xfId="52" applyFont="1" applyFill="1" applyBorder="1" applyAlignment="1">
      <alignment horizontal="left" vertical="center"/>
      <protection/>
    </xf>
    <xf numFmtId="4" fontId="4" fillId="24" borderId="33" xfId="52" applyNumberFormat="1" applyFont="1" applyFill="1" applyBorder="1" applyAlignment="1">
      <alignment vertical="center"/>
      <protection/>
    </xf>
    <xf numFmtId="4" fontId="4" fillId="24" borderId="12" xfId="52" applyNumberFormat="1" applyFont="1" applyFill="1" applyBorder="1" applyAlignment="1">
      <alignment vertical="center"/>
      <protection/>
    </xf>
    <xf numFmtId="4" fontId="4" fillId="24" borderId="13" xfId="52" applyNumberFormat="1" applyFont="1" applyFill="1" applyBorder="1" applyAlignment="1">
      <alignment vertical="center"/>
      <protection/>
    </xf>
    <xf numFmtId="4" fontId="4" fillId="24" borderId="34" xfId="52" applyNumberFormat="1" applyFont="1" applyFill="1" applyBorder="1" applyAlignment="1">
      <alignment vertical="center"/>
      <protection/>
    </xf>
    <xf numFmtId="49" fontId="1" fillId="0" borderId="16" xfId="53" applyNumberFormat="1" applyFont="1" applyFill="1" applyBorder="1" applyAlignment="1">
      <alignment horizontal="center" vertical="center"/>
      <protection/>
    </xf>
    <xf numFmtId="0" fontId="1" fillId="0" borderId="29" xfId="51" applyFont="1" applyBorder="1" applyAlignment="1">
      <alignment horizontal="center" vertical="center"/>
      <protection/>
    </xf>
    <xf numFmtId="0" fontId="1" fillId="0" borderId="18" xfId="53" applyFont="1" applyFill="1" applyBorder="1" applyAlignment="1">
      <alignment horizontal="center" vertical="center"/>
      <protection/>
    </xf>
    <xf numFmtId="0" fontId="1" fillId="0" borderId="35" xfId="51" applyFont="1" applyBorder="1" applyAlignment="1">
      <alignment horizontal="center" vertical="center"/>
      <protection/>
    </xf>
    <xf numFmtId="0" fontId="0" fillId="0" borderId="29" xfId="53" applyFont="1" applyFill="1" applyBorder="1" applyAlignment="1">
      <alignment vertical="center"/>
      <protection/>
    </xf>
    <xf numFmtId="0" fontId="1" fillId="0" borderId="30" xfId="51" applyFont="1" applyBorder="1" applyAlignment="1">
      <alignment horizontal="left" vertical="center"/>
      <protection/>
    </xf>
    <xf numFmtId="4" fontId="1" fillId="0" borderId="35" xfId="51" applyNumberFormat="1" applyFont="1" applyBorder="1" applyAlignment="1">
      <alignment vertical="center"/>
      <protection/>
    </xf>
    <xf numFmtId="4" fontId="1" fillId="0" borderId="17" xfId="53" applyNumberFormat="1" applyFont="1" applyFill="1" applyBorder="1" applyAlignment="1">
      <alignment vertical="center"/>
      <protection/>
    </xf>
    <xf numFmtId="0" fontId="5" fillId="0" borderId="0" xfId="53" applyFont="1" applyFill="1" applyAlignment="1">
      <alignment vertical="center"/>
      <protection/>
    </xf>
    <xf numFmtId="49" fontId="1" fillId="0" borderId="36" xfId="52" applyNumberFormat="1" applyFont="1" applyFill="1" applyBorder="1" applyAlignment="1">
      <alignment horizontal="center" vertical="center"/>
      <protection/>
    </xf>
    <xf numFmtId="0" fontId="1" fillId="0" borderId="37" xfId="51" applyFont="1" applyBorder="1" applyAlignment="1">
      <alignment horizontal="center" vertical="center"/>
      <protection/>
    </xf>
    <xf numFmtId="0" fontId="1" fillId="0" borderId="18" xfId="52" applyFont="1" applyFill="1" applyBorder="1" applyAlignment="1">
      <alignment horizontal="center" vertical="center"/>
      <protection/>
    </xf>
    <xf numFmtId="0" fontId="0" fillId="0" borderId="37" xfId="52" applyFont="1" applyFill="1" applyBorder="1" applyAlignment="1">
      <alignment vertical="center"/>
      <protection/>
    </xf>
    <xf numFmtId="0" fontId="1" fillId="0" borderId="38" xfId="51" applyFont="1" applyBorder="1" applyAlignment="1">
      <alignment horizontal="left" vertical="center"/>
      <protection/>
    </xf>
    <xf numFmtId="4" fontId="1" fillId="0" borderId="0" xfId="51" applyNumberFormat="1" applyFont="1" applyBorder="1" applyAlignment="1">
      <alignment vertical="center"/>
      <protection/>
    </xf>
    <xf numFmtId="4" fontId="1" fillId="0" borderId="36" xfId="51" applyNumberFormat="1" applyFont="1" applyBorder="1" applyAlignment="1">
      <alignment vertical="center"/>
      <protection/>
    </xf>
    <xf numFmtId="4" fontId="1" fillId="0" borderId="39" xfId="52" applyNumberFormat="1" applyFont="1" applyFill="1" applyBorder="1" applyAlignment="1">
      <alignment vertical="center"/>
      <protection/>
    </xf>
    <xf numFmtId="4" fontId="4" fillId="24" borderId="33" xfId="53" applyNumberFormat="1" applyFont="1" applyFill="1" applyBorder="1" applyAlignment="1">
      <alignment vertical="center"/>
      <protection/>
    </xf>
    <xf numFmtId="4" fontId="4" fillId="24" borderId="34" xfId="53" applyNumberFormat="1" applyFont="1" applyFill="1" applyBorder="1" applyAlignment="1">
      <alignment vertical="center"/>
      <protection/>
    </xf>
    <xf numFmtId="49" fontId="1" fillId="0" borderId="40" xfId="52" applyNumberFormat="1" applyFont="1" applyFill="1" applyBorder="1" applyAlignment="1">
      <alignment horizontal="center" vertical="center"/>
      <protection/>
    </xf>
    <xf numFmtId="0" fontId="1" fillId="0" borderId="22" xfId="51" applyFont="1" applyFill="1" applyBorder="1" applyAlignment="1">
      <alignment horizontal="center" vertical="center"/>
      <protection/>
    </xf>
    <xf numFmtId="0" fontId="1" fillId="0" borderId="41" xfId="52" applyFont="1" applyFill="1" applyBorder="1" applyAlignment="1">
      <alignment horizontal="center" vertical="center"/>
      <protection/>
    </xf>
    <xf numFmtId="0" fontId="1" fillId="0" borderId="41" xfId="52" applyFont="1" applyBorder="1" applyAlignment="1">
      <alignment vertical="center"/>
      <protection/>
    </xf>
    <xf numFmtId="0" fontId="1" fillId="0" borderId="41" xfId="51" applyFont="1" applyBorder="1" applyAlignment="1">
      <alignment horizontal="center" vertical="center"/>
      <protection/>
    </xf>
    <xf numFmtId="0" fontId="0" fillId="0" borderId="41" xfId="52" applyFont="1" applyFill="1" applyBorder="1" applyAlignment="1">
      <alignment vertical="center"/>
      <protection/>
    </xf>
    <xf numFmtId="0" fontId="1" fillId="0" borderId="41" xfId="51" applyFont="1" applyBorder="1" applyAlignment="1">
      <alignment vertical="center"/>
      <protection/>
    </xf>
    <xf numFmtId="4" fontId="1" fillId="0" borderId="42" xfId="51" applyNumberFormat="1" applyFont="1" applyBorder="1" applyAlignment="1">
      <alignment vertical="center"/>
      <protection/>
    </xf>
    <xf numFmtId="4" fontId="4" fillId="0" borderId="43" xfId="52" applyNumberFormat="1" applyFont="1" applyFill="1" applyBorder="1" applyAlignment="1">
      <alignment vertical="center"/>
      <protection/>
    </xf>
    <xf numFmtId="4" fontId="1" fillId="0" borderId="42" xfId="52" applyNumberFormat="1" applyFont="1" applyFill="1" applyBorder="1" applyAlignment="1">
      <alignment vertical="center"/>
      <protection/>
    </xf>
    <xf numFmtId="0" fontId="1" fillId="0" borderId="37" xfId="51" applyFont="1" applyFill="1" applyBorder="1" applyAlignment="1">
      <alignment horizontal="center" vertical="center"/>
      <protection/>
    </xf>
    <xf numFmtId="0" fontId="1" fillId="0" borderId="44" xfId="52" applyFont="1" applyFill="1" applyBorder="1" applyAlignment="1">
      <alignment horizontal="center" vertical="center"/>
      <protection/>
    </xf>
    <xf numFmtId="0" fontId="1" fillId="0" borderId="37" xfId="52" applyFont="1" applyBorder="1" applyAlignment="1">
      <alignment vertical="center"/>
      <protection/>
    </xf>
    <xf numFmtId="0" fontId="1" fillId="0" borderId="44" xfId="51" applyFont="1" applyBorder="1" applyAlignment="1">
      <alignment horizontal="center" vertical="center"/>
      <protection/>
    </xf>
    <xf numFmtId="0" fontId="0" fillId="0" borderId="44" xfId="52" applyFont="1" applyFill="1" applyBorder="1" applyAlignment="1">
      <alignment vertical="center"/>
      <protection/>
    </xf>
    <xf numFmtId="0" fontId="1" fillId="0" borderId="44" xfId="51" applyFont="1" applyBorder="1" applyAlignment="1">
      <alignment vertical="center"/>
      <protection/>
    </xf>
    <xf numFmtId="4" fontId="1" fillId="0" borderId="45" xfId="51" applyNumberFormat="1" applyFont="1" applyBorder="1" applyAlignment="1">
      <alignment vertical="center"/>
      <protection/>
    </xf>
    <xf numFmtId="4" fontId="4" fillId="0" borderId="0" xfId="52" applyNumberFormat="1" applyFont="1" applyFill="1" applyBorder="1" applyAlignment="1">
      <alignment vertical="center"/>
      <protection/>
    </xf>
    <xf numFmtId="49" fontId="39" fillId="0" borderId="46" xfId="53" applyNumberFormat="1" applyFont="1" applyFill="1" applyBorder="1" applyAlignment="1">
      <alignment horizontal="center" vertical="center"/>
      <protection/>
    </xf>
    <xf numFmtId="0" fontId="6" fillId="0" borderId="47" xfId="53" applyFont="1" applyFill="1" applyBorder="1" applyAlignment="1">
      <alignment horizontal="center" vertical="center" wrapText="1"/>
      <protection/>
    </xf>
    <xf numFmtId="49" fontId="39" fillId="0" borderId="41" xfId="53" applyNumberFormat="1" applyFont="1" applyBorder="1" applyAlignment="1">
      <alignment horizontal="center" vertical="center" wrapText="1"/>
      <protection/>
    </xf>
    <xf numFmtId="49" fontId="39" fillId="0" borderId="47" xfId="51" applyNumberFormat="1" applyFont="1" applyFill="1" applyBorder="1" applyAlignment="1">
      <alignment horizontal="center" vertical="center" wrapText="1"/>
      <protection/>
    </xf>
    <xf numFmtId="0" fontId="39" fillId="0" borderId="47" xfId="53" applyFont="1" applyFill="1" applyBorder="1" applyAlignment="1">
      <alignment horizontal="center" vertical="center" wrapText="1"/>
      <protection/>
    </xf>
    <xf numFmtId="2" fontId="40" fillId="0" borderId="19" xfId="56" applyNumberFormat="1" applyFont="1" applyFill="1" applyBorder="1" applyAlignment="1">
      <alignment horizontal="left" vertical="center" wrapText="1"/>
      <protection/>
    </xf>
    <xf numFmtId="4" fontId="39" fillId="0" borderId="42" xfId="51" applyNumberFormat="1" applyFont="1" applyFill="1" applyBorder="1" applyAlignment="1">
      <alignment vertical="center" wrapText="1"/>
      <protection/>
    </xf>
    <xf numFmtId="4" fontId="39" fillId="0" borderId="48" xfId="51" applyNumberFormat="1" applyFont="1" applyFill="1" applyBorder="1" applyAlignment="1">
      <alignment vertical="center" wrapText="1"/>
      <protection/>
    </xf>
    <xf numFmtId="0" fontId="6" fillId="0" borderId="49" xfId="51" applyFont="1" applyFill="1" applyBorder="1" applyAlignment="1">
      <alignment horizontal="center" vertical="center" wrapText="1"/>
      <protection/>
    </xf>
    <xf numFmtId="49" fontId="6" fillId="0" borderId="50" xfId="51" applyNumberFormat="1" applyFont="1" applyFill="1" applyBorder="1" applyAlignment="1">
      <alignment horizontal="center" vertical="center" wrapText="1"/>
      <protection/>
    </xf>
    <xf numFmtId="49" fontId="6" fillId="0" borderId="51" xfId="51" applyNumberFormat="1" applyFont="1" applyFill="1" applyBorder="1" applyAlignment="1">
      <alignment horizontal="center" vertical="center" wrapText="1"/>
      <protection/>
    </xf>
    <xf numFmtId="0" fontId="1" fillId="0" borderId="37" xfId="53" applyFont="1" applyBorder="1" applyAlignment="1">
      <alignment vertical="center"/>
      <protection/>
    </xf>
    <xf numFmtId="0" fontId="0" fillId="0" borderId="44" xfId="53" applyFont="1" applyFill="1" applyBorder="1" applyAlignment="1">
      <alignment vertical="center"/>
      <protection/>
    </xf>
    <xf numFmtId="4" fontId="1" fillId="0" borderId="45" xfId="53" applyNumberFormat="1" applyFont="1" applyFill="1" applyBorder="1" applyAlignment="1">
      <alignment vertical="center"/>
      <protection/>
    </xf>
    <xf numFmtId="4" fontId="1" fillId="0" borderId="52" xfId="53" applyNumberFormat="1" applyFont="1" applyFill="1" applyBorder="1" applyAlignment="1">
      <alignment vertical="center"/>
      <protection/>
    </xf>
    <xf numFmtId="49" fontId="4" fillId="0" borderId="46" xfId="53" applyNumberFormat="1" applyFont="1" applyFill="1" applyBorder="1" applyAlignment="1">
      <alignment horizontal="center" vertical="center"/>
      <protection/>
    </xf>
    <xf numFmtId="0" fontId="4" fillId="0" borderId="47" xfId="53" applyFont="1" applyFill="1" applyBorder="1" applyAlignment="1">
      <alignment horizontal="center" vertical="center" wrapText="1"/>
      <protection/>
    </xf>
    <xf numFmtId="49" fontId="4" fillId="0" borderId="47" xfId="53" applyNumberFormat="1" applyFont="1" applyFill="1" applyBorder="1" applyAlignment="1">
      <alignment horizontal="center" vertical="center" wrapText="1"/>
      <protection/>
    </xf>
    <xf numFmtId="0" fontId="4" fillId="0" borderId="47" xfId="53" applyFont="1" applyFill="1" applyBorder="1" applyAlignment="1">
      <alignment horizontal="center" vertical="center"/>
      <protection/>
    </xf>
    <xf numFmtId="0" fontId="4" fillId="0" borderId="41" xfId="53" applyFont="1" applyBorder="1" applyAlignment="1">
      <alignment vertical="center" wrapText="1"/>
      <protection/>
    </xf>
    <xf numFmtId="4" fontId="4" fillId="0" borderId="42" xfId="53" applyNumberFormat="1" applyFont="1" applyFill="1" applyBorder="1" applyAlignment="1">
      <alignment vertical="center"/>
      <protection/>
    </xf>
    <xf numFmtId="4" fontId="4" fillId="0" borderId="46" xfId="53" applyNumberFormat="1" applyFont="1" applyFill="1" applyBorder="1" applyAlignment="1">
      <alignment vertical="center" wrapText="1"/>
      <protection/>
    </xf>
    <xf numFmtId="0" fontId="1" fillId="0" borderId="37" xfId="53" applyFont="1" applyBorder="1" applyAlignment="1">
      <alignment horizontal="center" vertical="center"/>
      <protection/>
    </xf>
    <xf numFmtId="4" fontId="1" fillId="0" borderId="53" xfId="53" applyNumberFormat="1" applyFont="1" applyFill="1" applyBorder="1" applyAlignment="1">
      <alignment vertical="center"/>
      <protection/>
    </xf>
    <xf numFmtId="49" fontId="6" fillId="0" borderId="40" xfId="53" applyNumberFormat="1" applyFont="1" applyFill="1" applyBorder="1" applyAlignment="1">
      <alignment horizontal="center" vertical="center"/>
      <protection/>
    </xf>
    <xf numFmtId="0" fontId="6" fillId="0" borderId="47" xfId="51" applyFont="1" applyFill="1" applyBorder="1" applyAlignment="1">
      <alignment horizontal="center" vertical="center"/>
      <protection/>
    </xf>
    <xf numFmtId="0" fontId="6" fillId="0" borderId="47" xfId="53" applyFont="1" applyFill="1" applyBorder="1" applyAlignment="1">
      <alignment horizontal="center" vertical="center"/>
      <protection/>
    </xf>
    <xf numFmtId="49" fontId="6" fillId="0" borderId="47" xfId="51" applyNumberFormat="1" applyFont="1" applyFill="1" applyBorder="1" applyAlignment="1">
      <alignment horizontal="center" vertical="center" wrapText="1"/>
      <protection/>
    </xf>
    <xf numFmtId="0" fontId="6" fillId="0" borderId="47" xfId="51" applyFont="1" applyBorder="1" applyAlignment="1">
      <alignment horizontal="center" vertical="center"/>
      <protection/>
    </xf>
    <xf numFmtId="0" fontId="6" fillId="0" borderId="19" xfId="51" applyFont="1" applyBorder="1" applyAlignment="1">
      <alignment vertical="center"/>
      <protection/>
    </xf>
    <xf numFmtId="4" fontId="6" fillId="0" borderId="46" xfId="51" applyNumberFormat="1" applyFont="1" applyBorder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1" fillId="0" borderId="29" xfId="51" applyFont="1" applyFill="1" applyBorder="1" applyAlignment="1">
      <alignment horizontal="center" vertical="center"/>
      <protection/>
    </xf>
    <xf numFmtId="0" fontId="1" fillId="0" borderId="29" xfId="53" applyFont="1" applyFill="1" applyBorder="1" applyAlignment="1">
      <alignment horizontal="center" vertical="center"/>
      <protection/>
    </xf>
    <xf numFmtId="0" fontId="1" fillId="0" borderId="50" xfId="53" applyFont="1" applyBorder="1" applyAlignment="1">
      <alignment horizontal="center" vertical="center"/>
      <protection/>
    </xf>
    <xf numFmtId="0" fontId="1" fillId="0" borderId="50" xfId="51" applyFont="1" applyBorder="1" applyAlignment="1">
      <alignment horizontal="center" vertical="center"/>
      <protection/>
    </xf>
    <xf numFmtId="0" fontId="0" fillId="0" borderId="50" xfId="53" applyFont="1" applyFill="1" applyBorder="1" applyAlignment="1">
      <alignment vertical="center"/>
      <protection/>
    </xf>
    <xf numFmtId="0" fontId="1" fillId="0" borderId="54" xfId="51" applyFont="1" applyBorder="1" applyAlignment="1">
      <alignment vertical="center"/>
      <protection/>
    </xf>
    <xf numFmtId="4" fontId="1" fillId="0" borderId="16" xfId="51" applyNumberFormat="1" applyFont="1" applyBorder="1" applyAlignment="1">
      <alignment vertical="center"/>
      <protection/>
    </xf>
    <xf numFmtId="174" fontId="39" fillId="0" borderId="47" xfId="53" applyNumberFormat="1" applyFont="1" applyFill="1" applyBorder="1" applyAlignment="1">
      <alignment horizontal="center" vertical="center"/>
      <protection/>
    </xf>
    <xf numFmtId="0" fontId="32" fillId="0" borderId="19" xfId="49" applyFont="1" applyFill="1" applyBorder="1" applyAlignment="1">
      <alignment vertical="center"/>
      <protection/>
    </xf>
    <xf numFmtId="0" fontId="1" fillId="0" borderId="47" xfId="51" applyFont="1" applyFill="1" applyBorder="1" applyAlignment="1">
      <alignment horizontal="center" vertical="center"/>
      <protection/>
    </xf>
    <xf numFmtId="0" fontId="1" fillId="0" borderId="47" xfId="52" applyFont="1" applyFill="1" applyBorder="1" applyAlignment="1">
      <alignment horizontal="center" vertical="center"/>
      <protection/>
    </xf>
    <xf numFmtId="49" fontId="1" fillId="0" borderId="41" xfId="52" applyNumberFormat="1" applyFont="1" applyFill="1" applyBorder="1" applyAlignment="1">
      <alignment horizontal="center" vertical="center"/>
      <protection/>
    </xf>
    <xf numFmtId="0" fontId="1" fillId="0" borderId="19" xfId="52" applyFont="1" applyFill="1" applyBorder="1" applyAlignment="1">
      <alignment vertical="center"/>
      <protection/>
    </xf>
    <xf numFmtId="4" fontId="1" fillId="0" borderId="43" xfId="52" applyNumberFormat="1" applyFont="1" applyFill="1" applyBorder="1" applyAlignment="1">
      <alignment vertical="center"/>
      <protection/>
    </xf>
    <xf numFmtId="4" fontId="1" fillId="0" borderId="46" xfId="52" applyNumberFormat="1" applyFont="1" applyFill="1" applyBorder="1" applyAlignment="1">
      <alignment vertical="center"/>
      <protection/>
    </xf>
    <xf numFmtId="171" fontId="1" fillId="0" borderId="46" xfId="52" applyNumberFormat="1" applyFont="1" applyFill="1" applyBorder="1" applyAlignment="1">
      <alignment vertical="center"/>
      <protection/>
    </xf>
    <xf numFmtId="0" fontId="1" fillId="0" borderId="55" xfId="52" applyFont="1" applyFill="1" applyBorder="1" applyAlignment="1">
      <alignment horizontal="center" vertical="center"/>
      <protection/>
    </xf>
    <xf numFmtId="49" fontId="1" fillId="0" borderId="56" xfId="52" applyNumberFormat="1" applyFont="1" applyFill="1" applyBorder="1" applyAlignment="1">
      <alignment horizontal="center" vertical="center"/>
      <protection/>
    </xf>
    <xf numFmtId="0" fontId="1" fillId="0" borderId="57" xfId="52" applyFont="1" applyFill="1" applyBorder="1" applyAlignment="1">
      <alignment vertical="center"/>
      <protection/>
    </xf>
    <xf numFmtId="4" fontId="1" fillId="0" borderId="0" xfId="52" applyNumberFormat="1" applyFont="1" applyFill="1" applyBorder="1" applyAlignment="1">
      <alignment vertical="center"/>
      <protection/>
    </xf>
    <xf numFmtId="4" fontId="1" fillId="0" borderId="36" xfId="52" applyNumberFormat="1" applyFont="1" applyFill="1" applyBorder="1" applyAlignment="1">
      <alignment vertical="center"/>
      <protection/>
    </xf>
    <xf numFmtId="171" fontId="1" fillId="0" borderId="36" xfId="52" applyNumberFormat="1" applyFont="1" applyFill="1" applyBorder="1" applyAlignment="1">
      <alignment vertical="center"/>
      <protection/>
    </xf>
    <xf numFmtId="49" fontId="6" fillId="0" borderId="40" xfId="53" applyNumberFormat="1" applyFont="1" applyFill="1" applyBorder="1" applyAlignment="1">
      <alignment horizontal="center" vertical="center" wrapText="1"/>
      <protection/>
    </xf>
    <xf numFmtId="0" fontId="6" fillId="0" borderId="58" xfId="53" applyFont="1" applyFill="1" applyBorder="1" applyAlignment="1">
      <alignment horizontal="center" vertical="center" wrapText="1"/>
      <protection/>
    </xf>
    <xf numFmtId="49" fontId="6" fillId="0" borderId="47" xfId="53" applyNumberFormat="1" applyFont="1" applyFill="1" applyBorder="1" applyAlignment="1">
      <alignment horizontal="center" vertical="center" wrapText="1"/>
      <protection/>
    </xf>
    <xf numFmtId="0" fontId="6" fillId="0" borderId="19" xfId="49" applyFont="1" applyFill="1" applyBorder="1" applyAlignment="1">
      <alignment vertical="center" wrapText="1"/>
      <protection/>
    </xf>
    <xf numFmtId="4" fontId="6" fillId="0" borderId="43" xfId="53" applyNumberFormat="1" applyFont="1" applyFill="1" applyBorder="1" applyAlignment="1">
      <alignment vertical="center" wrapText="1"/>
      <protection/>
    </xf>
    <xf numFmtId="4" fontId="6" fillId="0" borderId="46" xfId="53" applyNumberFormat="1" applyFont="1" applyFill="1" applyBorder="1" applyAlignment="1">
      <alignment vertical="center" wrapText="1"/>
      <protection/>
    </xf>
    <xf numFmtId="4" fontId="6" fillId="0" borderId="42" xfId="53" applyNumberFormat="1" applyFont="1" applyFill="1" applyBorder="1" applyAlignment="1">
      <alignment vertical="center" wrapText="1"/>
      <protection/>
    </xf>
    <xf numFmtId="49" fontId="1" fillId="0" borderId="59" xfId="53" applyNumberFormat="1" applyFont="1" applyFill="1" applyBorder="1" applyAlignment="1">
      <alignment horizontal="center" vertical="center" wrapText="1"/>
      <protection/>
    </xf>
    <xf numFmtId="0" fontId="1" fillId="0" borderId="60" xfId="53" applyFont="1" applyFill="1" applyBorder="1" applyAlignment="1">
      <alignment horizontal="center" vertical="center" wrapText="1"/>
      <protection/>
    </xf>
    <xf numFmtId="49" fontId="1" fillId="0" borderId="37" xfId="53" applyNumberFormat="1" applyFont="1" applyFill="1" applyBorder="1" applyAlignment="1">
      <alignment horizontal="center" vertical="center" wrapText="1"/>
      <protection/>
    </xf>
    <xf numFmtId="0" fontId="1" fillId="0" borderId="37" xfId="53" applyFont="1" applyFill="1" applyBorder="1" applyAlignment="1">
      <alignment horizontal="center" vertical="center" wrapText="1"/>
      <protection/>
    </xf>
    <xf numFmtId="49" fontId="1" fillId="0" borderId="44" xfId="53" applyNumberFormat="1" applyFont="1" applyFill="1" applyBorder="1" applyAlignment="1">
      <alignment horizontal="center" vertical="center" wrapText="1"/>
      <protection/>
    </xf>
    <xf numFmtId="0" fontId="1" fillId="0" borderId="38" xfId="49" applyFont="1" applyFill="1" applyBorder="1" applyAlignment="1">
      <alignment vertical="center" wrapText="1"/>
      <protection/>
    </xf>
    <xf numFmtId="4" fontId="1" fillId="0" borderId="61" xfId="53" applyNumberFormat="1" applyFont="1" applyFill="1" applyBorder="1" applyAlignment="1">
      <alignment vertical="center" wrapText="1"/>
      <protection/>
    </xf>
    <xf numFmtId="4" fontId="1" fillId="0" borderId="31" xfId="53" applyNumberFormat="1" applyFont="1" applyFill="1" applyBorder="1" applyAlignment="1">
      <alignment vertical="center" wrapText="1"/>
      <protection/>
    </xf>
    <xf numFmtId="0" fontId="4" fillId="0" borderId="47" xfId="51" applyFont="1" applyFill="1" applyBorder="1" applyAlignment="1">
      <alignment horizontal="center" vertical="center"/>
      <protection/>
    </xf>
    <xf numFmtId="49" fontId="4" fillId="0" borderId="47" xfId="53" applyNumberFormat="1" applyFont="1" applyFill="1" applyBorder="1" applyAlignment="1">
      <alignment horizontal="center" vertical="center" wrapText="1"/>
      <protection/>
    </xf>
    <xf numFmtId="0" fontId="4" fillId="0" borderId="19" xfId="53" applyFont="1" applyFill="1" applyBorder="1" applyAlignment="1">
      <alignment vertical="center"/>
      <protection/>
    </xf>
    <xf numFmtId="4" fontId="4" fillId="0" borderId="43" xfId="53" applyNumberFormat="1" applyFont="1" applyFill="1" applyBorder="1" applyAlignment="1">
      <alignment vertical="center"/>
      <protection/>
    </xf>
    <xf numFmtId="49" fontId="1" fillId="0" borderId="36" xfId="53" applyNumberFormat="1" applyFont="1" applyFill="1" applyBorder="1" applyAlignment="1">
      <alignment horizontal="center" vertical="center"/>
      <protection/>
    </xf>
    <xf numFmtId="0" fontId="1" fillId="0" borderId="55" xfId="53" applyFont="1" applyFill="1" applyBorder="1" applyAlignment="1">
      <alignment horizontal="center" vertical="center"/>
      <protection/>
    </xf>
    <xf numFmtId="49" fontId="1" fillId="0" borderId="22" xfId="53" applyNumberFormat="1" applyFont="1" applyFill="1" applyBorder="1" applyAlignment="1">
      <alignment horizontal="center" vertical="center"/>
      <protection/>
    </xf>
    <xf numFmtId="0" fontId="1" fillId="0" borderId="22" xfId="53" applyFont="1" applyFill="1" applyBorder="1" applyAlignment="1">
      <alignment horizontal="center" vertical="center"/>
      <protection/>
    </xf>
    <xf numFmtId="49" fontId="1" fillId="0" borderId="62" xfId="53" applyNumberFormat="1" applyFont="1" applyFill="1" applyBorder="1" applyAlignment="1">
      <alignment horizontal="center" vertical="center"/>
      <protection/>
    </xf>
    <xf numFmtId="0" fontId="1" fillId="0" borderId="54" xfId="49" applyFont="1" applyFill="1" applyBorder="1" applyAlignment="1">
      <alignment vertical="center"/>
      <protection/>
    </xf>
    <xf numFmtId="4" fontId="1" fillId="0" borderId="0" xfId="53" applyNumberFormat="1" applyFont="1" applyFill="1" applyBorder="1" applyAlignment="1">
      <alignment vertical="center"/>
      <protection/>
    </xf>
    <xf numFmtId="4" fontId="1" fillId="0" borderId="20" xfId="53" applyNumberFormat="1" applyFont="1" applyFill="1" applyBorder="1" applyAlignment="1">
      <alignment vertical="center"/>
      <protection/>
    </xf>
    <xf numFmtId="0" fontId="1" fillId="0" borderId="37" xfId="53" applyFont="1" applyFill="1" applyBorder="1" applyAlignment="1">
      <alignment horizontal="center" vertical="center"/>
      <protection/>
    </xf>
    <xf numFmtId="49" fontId="1" fillId="0" borderId="50" xfId="53" applyNumberFormat="1" applyFont="1" applyFill="1" applyBorder="1" applyAlignment="1">
      <alignment horizontal="center" vertical="center"/>
      <protection/>
    </xf>
    <xf numFmtId="0" fontId="1" fillId="0" borderId="50" xfId="53" applyFont="1" applyFill="1" applyBorder="1" applyAlignment="1">
      <alignment horizontal="center" vertical="center"/>
      <protection/>
    </xf>
    <xf numFmtId="4" fontId="1" fillId="0" borderId="61" xfId="53" applyNumberFormat="1" applyFont="1" applyFill="1" applyBorder="1" applyAlignment="1">
      <alignment vertical="center"/>
      <protection/>
    </xf>
    <xf numFmtId="49" fontId="1" fillId="0" borderId="63" xfId="53" applyNumberFormat="1" applyFont="1" applyFill="1" applyBorder="1" applyAlignment="1">
      <alignment horizontal="center" vertical="center"/>
      <protection/>
    </xf>
    <xf numFmtId="0" fontId="1" fillId="0" borderId="63" xfId="53" applyFont="1" applyFill="1" applyBorder="1" applyAlignment="1">
      <alignment horizontal="center" vertical="center"/>
      <protection/>
    </xf>
    <xf numFmtId="49" fontId="1" fillId="0" borderId="64" xfId="53" applyNumberFormat="1" applyFont="1" applyFill="1" applyBorder="1" applyAlignment="1">
      <alignment horizontal="center" vertical="center"/>
      <protection/>
    </xf>
    <xf numFmtId="0" fontId="1" fillId="0" borderId="65" xfId="49" applyFont="1" applyFill="1" applyBorder="1" applyAlignment="1">
      <alignment vertical="center"/>
      <protection/>
    </xf>
    <xf numFmtId="4" fontId="1" fillId="0" borderId="66" xfId="53" applyNumberFormat="1" applyFont="1" applyFill="1" applyBorder="1" applyAlignment="1">
      <alignment vertical="center"/>
      <protection/>
    </xf>
    <xf numFmtId="49" fontId="1" fillId="0" borderId="12" xfId="52" applyNumberFormat="1" applyFont="1" applyFill="1" applyBorder="1" applyAlignment="1">
      <alignment horizontal="center" vertical="center"/>
      <protection/>
    </xf>
    <xf numFmtId="0" fontId="1" fillId="0" borderId="26" xfId="51" applyFont="1" applyFill="1" applyBorder="1" applyAlignment="1">
      <alignment horizontal="center" vertical="center"/>
      <protection/>
    </xf>
    <xf numFmtId="0" fontId="1" fillId="0" borderId="14" xfId="52" applyFont="1" applyFill="1" applyBorder="1" applyAlignment="1">
      <alignment horizontal="center" vertical="center"/>
      <protection/>
    </xf>
    <xf numFmtId="0" fontId="1" fillId="0" borderId="26" xfId="51" applyFont="1" applyBorder="1" applyAlignment="1">
      <alignment horizontal="center" vertical="center"/>
      <protection/>
    </xf>
    <xf numFmtId="0" fontId="1" fillId="0" borderId="14" xfId="51" applyFont="1" applyBorder="1" applyAlignment="1">
      <alignment horizontal="center" vertical="center"/>
      <protection/>
    </xf>
    <xf numFmtId="0" fontId="0" fillId="0" borderId="26" xfId="52" applyFont="1" applyFill="1" applyBorder="1" applyAlignment="1">
      <alignment vertical="center"/>
      <protection/>
    </xf>
    <xf numFmtId="0" fontId="1" fillId="0" borderId="15" xfId="51" applyFont="1" applyBorder="1" applyAlignment="1">
      <alignment vertical="center"/>
      <protection/>
    </xf>
    <xf numFmtId="4" fontId="1" fillId="0" borderId="33" xfId="51" applyNumberFormat="1" applyFont="1" applyBorder="1" applyAlignment="1">
      <alignment vertical="center"/>
      <protection/>
    </xf>
    <xf numFmtId="4" fontId="1" fillId="0" borderId="13" xfId="51" applyNumberFormat="1" applyFont="1" applyBorder="1" applyAlignment="1">
      <alignment vertical="center"/>
      <protection/>
    </xf>
    <xf numFmtId="4" fontId="1" fillId="0" borderId="13" xfId="52" applyNumberFormat="1" applyFont="1" applyFill="1" applyBorder="1" applyAlignment="1">
      <alignment vertical="center"/>
      <protection/>
    </xf>
    <xf numFmtId="4" fontId="4" fillId="24" borderId="13" xfId="53" applyNumberFormat="1" applyFont="1" applyFill="1" applyBorder="1" applyAlignment="1">
      <alignment vertical="center"/>
      <protection/>
    </xf>
    <xf numFmtId="4" fontId="1" fillId="0" borderId="53" xfId="55" applyNumberFormat="1" applyFont="1" applyFill="1" applyBorder="1" applyAlignment="1">
      <alignment vertical="center"/>
      <protection/>
    </xf>
    <xf numFmtId="49" fontId="6" fillId="0" borderId="46" xfId="53" applyNumberFormat="1" applyFont="1" applyFill="1" applyBorder="1" applyAlignment="1">
      <alignment horizontal="center" vertical="center"/>
      <protection/>
    </xf>
    <xf numFmtId="49" fontId="6" fillId="0" borderId="47" xfId="53" applyNumberFormat="1" applyFont="1" applyFill="1" applyBorder="1" applyAlignment="1">
      <alignment horizontal="center" vertical="center"/>
      <protection/>
    </xf>
    <xf numFmtId="4" fontId="6" fillId="0" borderId="42" xfId="53" applyNumberFormat="1" applyFont="1" applyFill="1" applyBorder="1" applyAlignment="1">
      <alignment vertical="center"/>
      <protection/>
    </xf>
    <xf numFmtId="49" fontId="1" fillId="0" borderId="31" xfId="53" applyNumberFormat="1" applyFont="1" applyFill="1" applyBorder="1" applyAlignment="1">
      <alignment horizontal="center" vertical="center"/>
      <protection/>
    </xf>
    <xf numFmtId="0" fontId="33" fillId="0" borderId="62" xfId="49" applyFont="1" applyFill="1" applyBorder="1" applyAlignment="1">
      <alignment vertical="center" wrapText="1"/>
      <protection/>
    </xf>
    <xf numFmtId="0" fontId="32" fillId="0" borderId="19" xfId="50" applyFont="1" applyFill="1" applyBorder="1" applyAlignment="1">
      <alignment vertical="center"/>
      <protection/>
    </xf>
    <xf numFmtId="0" fontId="4" fillId="0" borderId="19" xfId="53" applyFont="1" applyFill="1" applyBorder="1" applyAlignment="1">
      <alignment vertical="center" wrapText="1"/>
      <protection/>
    </xf>
    <xf numFmtId="0" fontId="30" fillId="0" borderId="0" xfId="54" applyFont="1" applyAlignment="1">
      <alignment vertical="center"/>
      <protection/>
    </xf>
    <xf numFmtId="0" fontId="0" fillId="0" borderId="0" xfId="54" applyAlignment="1">
      <alignment vertical="center"/>
      <protection/>
    </xf>
    <xf numFmtId="0" fontId="5" fillId="0" borderId="0" xfId="54" applyFont="1" applyAlignment="1">
      <alignment vertical="center"/>
      <protection/>
    </xf>
    <xf numFmtId="49" fontId="35" fillId="0" borderId="0" xfId="51" applyNumberFormat="1" applyFont="1" applyBorder="1" applyAlignment="1">
      <alignment vertical="center" textRotation="90"/>
      <protection/>
    </xf>
    <xf numFmtId="0" fontId="1" fillId="0" borderId="0" xfId="54" applyFont="1" applyFill="1" applyBorder="1" applyAlignment="1">
      <alignment horizontal="center" vertical="center"/>
      <protection/>
    </xf>
    <xf numFmtId="49" fontId="1" fillId="0" borderId="0" xfId="54" applyNumberFormat="1" applyFont="1" applyFill="1" applyBorder="1" applyAlignment="1">
      <alignment horizontal="center" vertical="center"/>
      <protection/>
    </xf>
    <xf numFmtId="175" fontId="1" fillId="0" borderId="0" xfId="54" applyNumberFormat="1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horizontal="left" vertical="center"/>
      <protection/>
    </xf>
    <xf numFmtId="4" fontId="1" fillId="0" borderId="0" xfId="54" applyNumberFormat="1" applyFont="1" applyFill="1" applyBorder="1" applyAlignment="1">
      <alignment vertical="center"/>
      <protection/>
    </xf>
    <xf numFmtId="0" fontId="5" fillId="0" borderId="0" xfId="54" applyFont="1" applyBorder="1" applyAlignment="1">
      <alignment vertical="center"/>
      <protection/>
    </xf>
    <xf numFmtId="0" fontId="5" fillId="0" borderId="0" xfId="54" applyFont="1" applyAlignment="1">
      <alignment horizontal="center" vertical="center"/>
      <protection/>
    </xf>
    <xf numFmtId="0" fontId="4" fillId="0" borderId="0" xfId="54" applyFon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/>
    </xf>
    <xf numFmtId="0" fontId="4" fillId="0" borderId="13" xfId="54" applyFont="1" applyBorder="1" applyAlignment="1">
      <alignment horizontal="center" vertical="center"/>
      <protection/>
    </xf>
    <xf numFmtId="0" fontId="4" fillId="0" borderId="32" xfId="52" applyFont="1" applyBorder="1" applyAlignment="1">
      <alignment horizontal="center" vertical="center"/>
      <protection/>
    </xf>
    <xf numFmtId="0" fontId="4" fillId="0" borderId="26" xfId="52" applyFont="1" applyBorder="1" applyAlignment="1">
      <alignment horizontal="center" vertical="center"/>
      <protection/>
    </xf>
    <xf numFmtId="49" fontId="4" fillId="0" borderId="14" xfId="52" applyNumberFormat="1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36" fillId="0" borderId="32" xfId="52" applyFont="1" applyBorder="1" applyAlignment="1">
      <alignment horizontal="center" vertical="center"/>
      <protection/>
    </xf>
    <xf numFmtId="49" fontId="36" fillId="0" borderId="26" xfId="52" applyNumberFormat="1" applyFont="1" applyBorder="1" applyAlignment="1">
      <alignment horizontal="center" vertical="center"/>
      <protection/>
    </xf>
    <xf numFmtId="0" fontId="36" fillId="0" borderId="26" xfId="52" applyFont="1" applyBorder="1" applyAlignment="1">
      <alignment horizontal="center" vertical="center"/>
      <protection/>
    </xf>
    <xf numFmtId="0" fontId="36" fillId="0" borderId="26" xfId="52" applyFont="1" applyBorder="1" applyAlignment="1">
      <alignment horizontal="center" vertical="center"/>
      <protection/>
    </xf>
    <xf numFmtId="49" fontId="36" fillId="0" borderId="14" xfId="52" applyNumberFormat="1" applyFont="1" applyBorder="1" applyAlignment="1">
      <alignment horizontal="center" vertical="center"/>
      <protection/>
    </xf>
    <xf numFmtId="0" fontId="37" fillId="0" borderId="15" xfId="49" applyFont="1" applyBorder="1" applyAlignment="1">
      <alignment vertical="center"/>
      <protection/>
    </xf>
    <xf numFmtId="4" fontId="36" fillId="0" borderId="12" xfId="52" applyNumberFormat="1" applyFont="1" applyFill="1" applyBorder="1" applyAlignment="1">
      <alignment vertical="center"/>
      <protection/>
    </xf>
    <xf numFmtId="4" fontId="36" fillId="0" borderId="13" xfId="52" applyNumberFormat="1" applyFont="1" applyFill="1" applyBorder="1" applyAlignment="1">
      <alignment vertical="center"/>
      <protection/>
    </xf>
    <xf numFmtId="0" fontId="6" fillId="0" borderId="58" xfId="52" applyFont="1" applyFill="1" applyBorder="1" applyAlignment="1">
      <alignment horizontal="center" vertical="center"/>
      <protection/>
    </xf>
    <xf numFmtId="49" fontId="6" fillId="0" borderId="47" xfId="52" applyNumberFormat="1" applyFont="1" applyFill="1" applyBorder="1" applyAlignment="1">
      <alignment horizontal="center" vertical="center"/>
      <protection/>
    </xf>
    <xf numFmtId="0" fontId="6" fillId="0" borderId="47" xfId="52" applyFont="1" applyFill="1" applyBorder="1" applyAlignment="1">
      <alignment horizontal="center" vertical="center"/>
      <protection/>
    </xf>
    <xf numFmtId="0" fontId="6" fillId="0" borderId="47" xfId="52" applyFont="1" applyFill="1" applyBorder="1" applyAlignment="1">
      <alignment horizontal="center" vertical="center"/>
      <protection/>
    </xf>
    <xf numFmtId="49" fontId="6" fillId="0" borderId="41" xfId="52" applyNumberFormat="1" applyFont="1" applyFill="1" applyBorder="1" applyAlignment="1">
      <alignment horizontal="center" vertical="center"/>
      <protection/>
    </xf>
    <xf numFmtId="0" fontId="32" fillId="0" borderId="41" xfId="49" applyFont="1" applyFill="1" applyBorder="1" applyAlignment="1">
      <alignment vertical="center"/>
      <protection/>
    </xf>
    <xf numFmtId="4" fontId="6" fillId="0" borderId="42" xfId="52" applyNumberFormat="1" applyFont="1" applyFill="1" applyBorder="1" applyAlignment="1">
      <alignment vertical="center"/>
      <protection/>
    </xf>
    <xf numFmtId="0" fontId="1" fillId="0" borderId="67" xfId="52" applyFont="1" applyFill="1" applyBorder="1" applyAlignment="1">
      <alignment horizontal="center" vertical="center"/>
      <protection/>
    </xf>
    <xf numFmtId="49" fontId="5" fillId="0" borderId="29" xfId="52" applyNumberFormat="1" applyFont="1" applyFill="1" applyBorder="1" applyAlignment="1">
      <alignment horizontal="center" vertical="center"/>
      <protection/>
    </xf>
    <xf numFmtId="0" fontId="1" fillId="0" borderId="29" xfId="52" applyFont="1" applyFill="1" applyBorder="1" applyAlignment="1">
      <alignment horizontal="center" vertical="center"/>
      <protection/>
    </xf>
    <xf numFmtId="0" fontId="1" fillId="0" borderId="18" xfId="52" applyFont="1" applyFill="1" applyBorder="1" applyAlignment="1">
      <alignment horizontal="center" vertical="center"/>
      <protection/>
    </xf>
    <xf numFmtId="49" fontId="1" fillId="0" borderId="44" xfId="53" applyNumberFormat="1" applyFont="1" applyFill="1" applyBorder="1" applyAlignment="1">
      <alignment horizontal="center" vertical="center"/>
      <protection/>
    </xf>
    <xf numFmtId="0" fontId="33" fillId="0" borderId="38" xfId="49" applyFont="1" applyFill="1" applyBorder="1" applyAlignment="1">
      <alignment vertical="center" wrapText="1"/>
      <protection/>
    </xf>
    <xf numFmtId="0" fontId="32" fillId="0" borderId="19" xfId="49" applyFont="1" applyFill="1" applyBorder="1" applyAlignment="1">
      <alignment vertical="center"/>
      <protection/>
    </xf>
    <xf numFmtId="49" fontId="1" fillId="0" borderId="18" xfId="52" applyNumberFormat="1" applyFont="1" applyFill="1" applyBorder="1" applyAlignment="1">
      <alignment horizontal="center" vertical="center"/>
      <protection/>
    </xf>
    <xf numFmtId="0" fontId="33" fillId="0" borderId="30" xfId="49" applyFont="1" applyFill="1" applyBorder="1" applyAlignment="1">
      <alignment vertical="center" wrapText="1"/>
      <protection/>
    </xf>
    <xf numFmtId="4" fontId="38" fillId="0" borderId="17" xfId="53" applyNumberFormat="1" applyFont="1" applyFill="1" applyBorder="1" applyAlignment="1">
      <alignment vertical="center"/>
      <protection/>
    </xf>
    <xf numFmtId="4" fontId="6" fillId="0" borderId="46" xfId="52" applyNumberFormat="1" applyFont="1" applyFill="1" applyBorder="1" applyAlignment="1">
      <alignment vertical="center"/>
      <protection/>
    </xf>
    <xf numFmtId="0" fontId="36" fillId="0" borderId="67" xfId="52" applyFont="1" applyFill="1" applyBorder="1" applyAlignment="1">
      <alignment horizontal="center" vertical="center"/>
      <protection/>
    </xf>
    <xf numFmtId="0" fontId="1" fillId="0" borderId="22" xfId="52" applyFont="1" applyFill="1" applyBorder="1" applyAlignment="1">
      <alignment horizontal="center" vertical="center"/>
      <protection/>
    </xf>
    <xf numFmtId="0" fontId="1" fillId="0" borderId="22" xfId="52" applyFont="1" applyFill="1" applyBorder="1" applyAlignment="1">
      <alignment horizontal="center" vertical="center"/>
      <protection/>
    </xf>
    <xf numFmtId="49" fontId="1" fillId="0" borderId="22" xfId="54" applyNumberFormat="1" applyFont="1" applyFill="1" applyBorder="1" applyAlignment="1">
      <alignment horizontal="center" vertical="center"/>
      <protection/>
    </xf>
    <xf numFmtId="4" fontId="1" fillId="0" borderId="20" xfId="52" applyNumberFormat="1" applyFont="1" applyFill="1" applyBorder="1" applyAlignment="1">
      <alignment vertical="center"/>
      <protection/>
    </xf>
    <xf numFmtId="4" fontId="38" fillId="0" borderId="11" xfId="52" applyNumberFormat="1" applyFont="1" applyFill="1" applyBorder="1" applyAlignment="1">
      <alignment vertical="center"/>
      <protection/>
    </xf>
    <xf numFmtId="0" fontId="1" fillId="0" borderId="24" xfId="53" applyFont="1" applyFill="1" applyBorder="1" applyAlignment="1">
      <alignment horizontal="center" vertical="center"/>
      <protection/>
    </xf>
    <xf numFmtId="49" fontId="6" fillId="0" borderId="22" xfId="53" applyNumberFormat="1" applyFont="1" applyFill="1" applyBorder="1" applyAlignment="1">
      <alignment horizontal="center" vertical="center"/>
      <protection/>
    </xf>
    <xf numFmtId="0" fontId="1" fillId="0" borderId="22" xfId="53" applyFont="1" applyFill="1" applyBorder="1" applyAlignment="1">
      <alignment horizontal="center" vertical="center"/>
      <protection/>
    </xf>
    <xf numFmtId="49" fontId="1" fillId="0" borderId="21" xfId="53" applyNumberFormat="1" applyFont="1" applyFill="1" applyBorder="1" applyAlignment="1">
      <alignment horizontal="center" vertical="center"/>
      <protection/>
    </xf>
    <xf numFmtId="0" fontId="33" fillId="0" borderId="23" xfId="49" applyFont="1" applyFill="1" applyBorder="1" applyAlignment="1">
      <alignment vertical="center"/>
      <protection/>
    </xf>
    <xf numFmtId="0" fontId="1" fillId="0" borderId="68" xfId="52" applyFont="1" applyFill="1" applyBorder="1" applyAlignment="1">
      <alignment horizontal="center" vertical="center"/>
      <protection/>
    </xf>
    <xf numFmtId="4" fontId="1" fillId="0" borderId="17" xfId="52" applyNumberFormat="1" applyFont="1" applyFill="1" applyBorder="1" applyAlignment="1">
      <alignment vertical="center"/>
      <protection/>
    </xf>
    <xf numFmtId="49" fontId="1" fillId="0" borderId="22" xfId="52" applyNumberFormat="1" applyFont="1" applyFill="1" applyBorder="1" applyAlignment="1">
      <alignment horizontal="center" vertical="center"/>
      <protection/>
    </xf>
    <xf numFmtId="0" fontId="1" fillId="0" borderId="29" xfId="52" applyFont="1" applyFill="1" applyBorder="1" applyAlignment="1">
      <alignment horizontal="center" vertical="center"/>
      <protection/>
    </xf>
    <xf numFmtId="49" fontId="1" fillId="0" borderId="21" xfId="52" applyNumberFormat="1" applyFont="1" applyFill="1" applyBorder="1" applyAlignment="1">
      <alignment horizontal="center" vertical="center"/>
      <protection/>
    </xf>
    <xf numFmtId="4" fontId="1" fillId="0" borderId="16" xfId="52" applyNumberFormat="1" applyFont="1" applyFill="1" applyBorder="1" applyAlignment="1">
      <alignment vertical="center"/>
      <protection/>
    </xf>
    <xf numFmtId="0" fontId="1" fillId="0" borderId="60" xfId="53" applyFont="1" applyFill="1" applyBorder="1" applyAlignment="1">
      <alignment horizontal="center" vertical="center"/>
      <protection/>
    </xf>
    <xf numFmtId="49" fontId="6" fillId="0" borderId="37" xfId="53" applyNumberFormat="1" applyFont="1" applyFill="1" applyBorder="1" applyAlignment="1">
      <alignment horizontal="center" vertical="center"/>
      <protection/>
    </xf>
    <xf numFmtId="0" fontId="1" fillId="0" borderId="37" xfId="53" applyFont="1" applyFill="1" applyBorder="1" applyAlignment="1">
      <alignment horizontal="center" vertical="center"/>
      <protection/>
    </xf>
    <xf numFmtId="0" fontId="33" fillId="0" borderId="38" xfId="49" applyFont="1" applyFill="1" applyBorder="1" applyAlignment="1">
      <alignment vertical="center"/>
      <protection/>
    </xf>
    <xf numFmtId="4" fontId="1" fillId="0" borderId="31" xfId="53" applyNumberFormat="1" applyFont="1" applyFill="1" applyBorder="1" applyAlignment="1">
      <alignment vertical="center"/>
      <protection/>
    </xf>
    <xf numFmtId="0" fontId="6" fillId="0" borderId="58" xfId="53" applyFont="1" applyFill="1" applyBorder="1" applyAlignment="1">
      <alignment horizontal="center" vertical="center"/>
      <protection/>
    </xf>
    <xf numFmtId="0" fontId="6" fillId="0" borderId="47" xfId="53" applyFont="1" applyFill="1" applyBorder="1" applyAlignment="1">
      <alignment horizontal="center" vertical="center"/>
      <protection/>
    </xf>
    <xf numFmtId="49" fontId="6" fillId="0" borderId="41" xfId="53" applyNumberFormat="1" applyFont="1" applyFill="1" applyBorder="1" applyAlignment="1">
      <alignment horizontal="center" vertical="center"/>
      <protection/>
    </xf>
    <xf numFmtId="4" fontId="6" fillId="0" borderId="17" xfId="53" applyNumberFormat="1" applyFont="1" applyFill="1" applyBorder="1" applyAlignment="1">
      <alignment vertical="center"/>
      <protection/>
    </xf>
    <xf numFmtId="0" fontId="6" fillId="0" borderId="68" xfId="53" applyFont="1" applyFill="1" applyBorder="1" applyAlignment="1">
      <alignment horizontal="center" vertical="center"/>
      <protection/>
    </xf>
    <xf numFmtId="49" fontId="6" fillId="0" borderId="29" xfId="53" applyNumberFormat="1" applyFont="1" applyFill="1" applyBorder="1" applyAlignment="1">
      <alignment horizontal="center" vertical="center"/>
      <protection/>
    </xf>
    <xf numFmtId="49" fontId="1" fillId="0" borderId="21" xfId="53" applyNumberFormat="1" applyFont="1" applyFill="1" applyBorder="1" applyAlignment="1">
      <alignment horizontal="center" vertical="center"/>
      <protection/>
    </xf>
    <xf numFmtId="0" fontId="1" fillId="0" borderId="18" xfId="52" applyFont="1" applyBorder="1" applyAlignment="1">
      <alignment vertical="center"/>
      <protection/>
    </xf>
    <xf numFmtId="4" fontId="1" fillId="0" borderId="22" xfId="53" applyNumberFormat="1" applyFont="1" applyFill="1" applyBorder="1" applyAlignment="1">
      <alignment vertical="center"/>
      <protection/>
    </xf>
    <xf numFmtId="4" fontId="1" fillId="0" borderId="23" xfId="53" applyNumberFormat="1" applyFont="1" applyFill="1" applyBorder="1" applyAlignment="1">
      <alignment vertical="center"/>
      <protection/>
    </xf>
    <xf numFmtId="0" fontId="1" fillId="0" borderId="67" xfId="53" applyFont="1" applyFill="1" applyBorder="1" applyAlignment="1">
      <alignment horizontal="center" vertical="center"/>
      <protection/>
    </xf>
    <xf numFmtId="0" fontId="1" fillId="0" borderId="23" xfId="53" applyFont="1" applyBorder="1" applyAlignment="1">
      <alignment vertical="center"/>
      <protection/>
    </xf>
    <xf numFmtId="0" fontId="1" fillId="0" borderId="22" xfId="52" applyFont="1" applyFill="1" applyBorder="1" applyAlignment="1">
      <alignment horizontal="left" vertical="center" wrapText="1"/>
      <protection/>
    </xf>
    <xf numFmtId="0" fontId="1" fillId="0" borderId="50" xfId="53" applyFont="1" applyFill="1" applyBorder="1" applyAlignment="1">
      <alignment horizontal="center" vertical="center"/>
      <protection/>
    </xf>
    <xf numFmtId="4" fontId="1" fillId="0" borderId="50" xfId="53" applyNumberFormat="1" applyFont="1" applyFill="1" applyBorder="1" applyAlignment="1">
      <alignment vertical="center"/>
      <protection/>
    </xf>
    <xf numFmtId="4" fontId="1" fillId="0" borderId="54" xfId="53" applyNumberFormat="1" applyFont="1" applyFill="1" applyBorder="1" applyAlignment="1">
      <alignment vertical="center"/>
      <protection/>
    </xf>
    <xf numFmtId="0" fontId="1" fillId="0" borderId="68" xfId="53" applyFont="1" applyFill="1" applyBorder="1" applyAlignment="1">
      <alignment horizontal="center" vertical="center"/>
      <protection/>
    </xf>
    <xf numFmtId="0" fontId="1" fillId="0" borderId="23" xfId="53" applyFont="1" applyFill="1" applyBorder="1" applyAlignment="1">
      <alignment vertical="center"/>
      <protection/>
    </xf>
    <xf numFmtId="0" fontId="1" fillId="0" borderId="29" xfId="52" applyFont="1" applyFill="1" applyBorder="1" applyAlignment="1">
      <alignment horizontal="left" vertical="center" wrapText="1"/>
      <protection/>
    </xf>
    <xf numFmtId="0" fontId="1" fillId="0" borderId="18" xfId="52" applyFont="1" applyFill="1" applyBorder="1" applyAlignment="1">
      <alignment vertical="center"/>
      <protection/>
    </xf>
    <xf numFmtId="0" fontId="6" fillId="0" borderId="40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1" fillId="0" borderId="49" xfId="53" applyFont="1" applyFill="1" applyBorder="1" applyAlignment="1">
      <alignment horizontal="center" vertical="center"/>
      <protection/>
    </xf>
    <xf numFmtId="49" fontId="5" fillId="0" borderId="37" xfId="52" applyNumberFormat="1" applyFont="1" applyFill="1" applyBorder="1" applyAlignment="1">
      <alignment horizontal="center" vertical="center"/>
      <protection/>
    </xf>
    <xf numFmtId="0" fontId="1" fillId="0" borderId="50" xfId="52" applyFont="1" applyFill="1" applyBorder="1" applyAlignment="1">
      <alignment horizontal="left" vertical="center" wrapText="1"/>
      <protection/>
    </xf>
    <xf numFmtId="0" fontId="6" fillId="0" borderId="68" xfId="53" applyFont="1" applyFill="1" applyBorder="1" applyAlignment="1">
      <alignment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49" fontId="6" fillId="0" borderId="18" xfId="53" applyNumberFormat="1" applyFont="1" applyFill="1" applyBorder="1" applyAlignment="1">
      <alignment horizontal="center" vertical="center"/>
      <protection/>
    </xf>
    <xf numFmtId="0" fontId="32" fillId="0" borderId="30" xfId="50" applyFont="1" applyFill="1" applyBorder="1" applyAlignment="1">
      <alignment vertical="center"/>
      <protection/>
    </xf>
    <xf numFmtId="4" fontId="6" fillId="0" borderId="16" xfId="52" applyNumberFormat="1" applyFont="1" applyFill="1" applyBorder="1" applyAlignment="1">
      <alignment vertical="center"/>
      <protection/>
    </xf>
    <xf numFmtId="4" fontId="6" fillId="0" borderId="17" xfId="52" applyNumberFormat="1" applyFont="1" applyFill="1" applyBorder="1" applyAlignment="1">
      <alignment vertical="center"/>
      <protection/>
    </xf>
    <xf numFmtId="0" fontId="1" fillId="0" borderId="60" xfId="53" applyFont="1" applyFill="1" applyBorder="1" applyAlignment="1">
      <alignment vertical="center"/>
      <protection/>
    </xf>
    <xf numFmtId="49" fontId="5" fillId="0" borderId="37" xfId="53" applyNumberFormat="1" applyFont="1" applyFill="1" applyBorder="1" applyAlignment="1">
      <alignment horizontal="center" vertical="center"/>
      <protection/>
    </xf>
    <xf numFmtId="49" fontId="1" fillId="0" borderId="50" xfId="54" applyNumberFormat="1" applyFont="1" applyFill="1" applyBorder="1" applyAlignment="1">
      <alignment horizontal="center" vertical="center"/>
      <protection/>
    </xf>
    <xf numFmtId="0" fontId="1" fillId="0" borderId="54" xfId="53" applyFont="1" applyFill="1" applyBorder="1" applyAlignment="1">
      <alignment vertical="center"/>
      <protection/>
    </xf>
    <xf numFmtId="4" fontId="1" fillId="0" borderId="45" xfId="52" applyNumberFormat="1" applyFont="1" applyFill="1" applyBorder="1" applyAlignment="1">
      <alignment vertical="center"/>
      <protection/>
    </xf>
    <xf numFmtId="0" fontId="6" fillId="0" borderId="58" xfId="53" applyFont="1" applyFill="1" applyBorder="1" applyAlignment="1">
      <alignment vertical="center"/>
      <protection/>
    </xf>
    <xf numFmtId="0" fontId="32" fillId="0" borderId="19" xfId="50" applyFont="1" applyFill="1" applyBorder="1" applyAlignment="1">
      <alignment vertical="center"/>
      <protection/>
    </xf>
    <xf numFmtId="0" fontId="1" fillId="0" borderId="51" xfId="53" applyFont="1" applyFill="1" applyBorder="1" applyAlignment="1">
      <alignment vertical="center"/>
      <protection/>
    </xf>
    <xf numFmtId="49" fontId="5" fillId="0" borderId="50" xfId="53" applyNumberFormat="1" applyFont="1" applyFill="1" applyBorder="1" applyAlignment="1">
      <alignment horizontal="center" vertical="center"/>
      <protection/>
    </xf>
    <xf numFmtId="4" fontId="1" fillId="0" borderId="53" xfId="52" applyNumberFormat="1" applyFont="1" applyFill="1" applyBorder="1" applyAlignment="1">
      <alignment vertical="center"/>
      <protection/>
    </xf>
    <xf numFmtId="0" fontId="33" fillId="0" borderId="54" xfId="50" applyFont="1" applyFill="1" applyBorder="1" applyAlignment="1">
      <alignment vertical="center" wrapText="1"/>
      <protection/>
    </xf>
    <xf numFmtId="4" fontId="6" fillId="0" borderId="46" xfId="53" applyNumberFormat="1" applyFont="1" applyFill="1" applyBorder="1" applyAlignment="1">
      <alignment vertical="center"/>
      <protection/>
    </xf>
    <xf numFmtId="0" fontId="1" fillId="0" borderId="24" xfId="53" applyFont="1" applyFill="1" applyBorder="1" applyAlignment="1">
      <alignment vertical="center"/>
      <protection/>
    </xf>
    <xf numFmtId="49" fontId="5" fillId="0" borderId="22" xfId="53" applyNumberFormat="1" applyFont="1" applyFill="1" applyBorder="1" applyAlignment="1">
      <alignment horizontal="center" vertical="center"/>
      <protection/>
    </xf>
    <xf numFmtId="0" fontId="33" fillId="0" borderId="23" xfId="50" applyFont="1" applyFill="1" applyBorder="1" applyAlignment="1">
      <alignment vertical="center" wrapText="1"/>
      <protection/>
    </xf>
    <xf numFmtId="0" fontId="1" fillId="0" borderId="69" xfId="53" applyFont="1" applyFill="1" applyBorder="1" applyAlignment="1">
      <alignment vertical="center"/>
      <protection/>
    </xf>
    <xf numFmtId="49" fontId="5" fillId="0" borderId="55" xfId="53" applyNumberFormat="1" applyFont="1" applyFill="1" applyBorder="1" applyAlignment="1">
      <alignment horizontal="center" vertical="center"/>
      <protection/>
    </xf>
    <xf numFmtId="0" fontId="33" fillId="0" borderId="38" xfId="50" applyFont="1" applyFill="1" applyBorder="1" applyAlignment="1">
      <alignment vertical="center" wrapText="1"/>
      <protection/>
    </xf>
    <xf numFmtId="4" fontId="1" fillId="0" borderId="31" xfId="52" applyNumberFormat="1" applyFont="1" applyFill="1" applyBorder="1" applyAlignment="1">
      <alignment vertical="center"/>
      <protection/>
    </xf>
    <xf numFmtId="49" fontId="1" fillId="0" borderId="44" xfId="53" applyNumberFormat="1" applyFont="1" applyFill="1" applyBorder="1" applyAlignment="1">
      <alignment horizontal="center" vertical="center"/>
      <protection/>
    </xf>
    <xf numFmtId="0" fontId="1" fillId="0" borderId="49" xfId="53" applyFont="1" applyFill="1" applyBorder="1" applyAlignment="1">
      <alignment vertical="center"/>
      <protection/>
    </xf>
    <xf numFmtId="0" fontId="1" fillId="0" borderId="59" xfId="53" applyFont="1" applyFill="1" applyBorder="1" applyAlignment="1">
      <alignment vertical="center"/>
      <protection/>
    </xf>
    <xf numFmtId="0" fontId="6" fillId="0" borderId="40" xfId="53" applyFont="1" applyFill="1" applyBorder="1" applyAlignment="1">
      <alignment vertical="center"/>
      <protection/>
    </xf>
    <xf numFmtId="0" fontId="33" fillId="0" borderId="23" xfId="49" applyFont="1" applyFill="1" applyBorder="1" applyAlignment="1">
      <alignment vertical="center" wrapText="1"/>
      <protection/>
    </xf>
    <xf numFmtId="0" fontId="6" fillId="0" borderId="68" xfId="52" applyFont="1" applyBorder="1" applyAlignment="1">
      <alignment horizontal="center" vertical="center"/>
      <protection/>
    </xf>
    <xf numFmtId="49" fontId="6" fillId="0" borderId="29" xfId="52" applyNumberFormat="1" applyFont="1" applyFill="1" applyBorder="1" applyAlignment="1">
      <alignment horizontal="center" vertical="center"/>
      <protection/>
    </xf>
    <xf numFmtId="0" fontId="6" fillId="0" borderId="29" xfId="52" applyFont="1" applyBorder="1" applyAlignment="1">
      <alignment horizontal="center" vertical="center"/>
      <protection/>
    </xf>
    <xf numFmtId="0" fontId="6" fillId="0" borderId="29" xfId="52" applyFont="1" applyBorder="1" applyAlignment="1">
      <alignment horizontal="center" vertical="center"/>
      <protection/>
    </xf>
    <xf numFmtId="0" fontId="32" fillId="0" borderId="30" xfId="49" applyFont="1" applyFill="1" applyBorder="1" applyAlignment="1">
      <alignment vertical="center"/>
      <protection/>
    </xf>
    <xf numFmtId="0" fontId="1" fillId="0" borderId="51" xfId="52" applyFont="1" applyBorder="1" applyAlignment="1">
      <alignment horizontal="center" vertical="center"/>
      <protection/>
    </xf>
    <xf numFmtId="49" fontId="1" fillId="0" borderId="50" xfId="52" applyNumberFormat="1" applyFont="1" applyFill="1" applyBorder="1" applyAlignment="1">
      <alignment horizontal="center" vertical="center"/>
      <protection/>
    </xf>
    <xf numFmtId="0" fontId="1" fillId="0" borderId="50" xfId="54" applyFont="1" applyFill="1" applyBorder="1" applyAlignment="1">
      <alignment horizontal="center" vertical="center"/>
      <protection/>
    </xf>
    <xf numFmtId="0" fontId="1" fillId="0" borderId="62" xfId="54" applyFont="1" applyFill="1" applyBorder="1" applyAlignment="1">
      <alignment horizontal="center" vertical="center"/>
      <protection/>
    </xf>
    <xf numFmtId="49" fontId="6" fillId="0" borderId="18" xfId="52" applyNumberFormat="1" applyFont="1" applyBorder="1" applyAlignment="1">
      <alignment horizontal="center" vertical="center"/>
      <protection/>
    </xf>
    <xf numFmtId="49" fontId="1" fillId="0" borderId="62" xfId="52" applyNumberFormat="1" applyFont="1" applyFill="1" applyBorder="1" applyAlignment="1">
      <alignment horizontal="center" vertical="center"/>
      <protection/>
    </xf>
    <xf numFmtId="0" fontId="1" fillId="0" borderId="54" xfId="54" applyFont="1" applyFill="1" applyBorder="1" applyAlignment="1">
      <alignment horizontal="left" vertical="center"/>
      <protection/>
    </xf>
    <xf numFmtId="4" fontId="0" fillId="0" borderId="0" xfId="54" applyNumberFormat="1" applyAlignment="1">
      <alignment vertical="center"/>
      <protection/>
    </xf>
    <xf numFmtId="0" fontId="32" fillId="0" borderId="19" xfId="49" applyFont="1" applyFill="1" applyBorder="1" applyAlignment="1">
      <alignment vertical="center" wrapText="1"/>
      <protection/>
    </xf>
    <xf numFmtId="4" fontId="1" fillId="0" borderId="52" xfId="52" applyNumberFormat="1" applyFont="1" applyFill="1" applyBorder="1" applyAlignment="1">
      <alignment vertical="center"/>
      <protection/>
    </xf>
    <xf numFmtId="171" fontId="4" fillId="0" borderId="46" xfId="53" applyNumberFormat="1" applyFont="1" applyFill="1" applyBorder="1" applyAlignment="1">
      <alignment vertical="center" wrapText="1"/>
      <protection/>
    </xf>
    <xf numFmtId="171" fontId="1" fillId="0" borderId="53" xfId="53" applyNumberFormat="1" applyFont="1" applyFill="1" applyBorder="1" applyAlignment="1">
      <alignment vertical="center"/>
      <protection/>
    </xf>
    <xf numFmtId="171" fontId="4" fillId="0" borderId="13" xfId="52" applyNumberFormat="1" applyFont="1" applyFill="1" applyBorder="1" applyAlignment="1">
      <alignment vertical="center"/>
      <protection/>
    </xf>
    <xf numFmtId="171" fontId="4" fillId="24" borderId="13" xfId="52" applyNumberFormat="1" applyFont="1" applyFill="1" applyBorder="1" applyAlignment="1">
      <alignment vertical="center"/>
      <protection/>
    </xf>
    <xf numFmtId="171" fontId="1" fillId="0" borderId="16" xfId="53" applyNumberFormat="1" applyFont="1" applyFill="1" applyBorder="1" applyAlignment="1">
      <alignment vertical="center"/>
      <protection/>
    </xf>
    <xf numFmtId="171" fontId="4" fillId="0" borderId="36" xfId="52" applyNumberFormat="1" applyFont="1" applyFill="1" applyBorder="1" applyAlignment="1">
      <alignment vertical="center"/>
      <protection/>
    </xf>
    <xf numFmtId="171" fontId="9" fillId="0" borderId="22" xfId="0" applyNumberFormat="1" applyFont="1" applyFill="1" applyBorder="1" applyAlignment="1">
      <alignment horizontal="right" vertical="center" wrapText="1"/>
    </xf>
    <xf numFmtId="171" fontId="8" fillId="0" borderId="47" xfId="0" applyNumberFormat="1" applyFont="1" applyBorder="1" applyAlignment="1">
      <alignment horizontal="right" vertical="center" wrapText="1"/>
    </xf>
    <xf numFmtId="171" fontId="8" fillId="0" borderId="22" xfId="0" applyNumberFormat="1" applyFont="1" applyFill="1" applyBorder="1" applyAlignment="1">
      <alignment horizontal="right" vertical="center" wrapText="1"/>
    </xf>
    <xf numFmtId="171" fontId="9" fillId="0" borderId="22" xfId="0" applyNumberFormat="1" applyFont="1" applyBorder="1" applyAlignment="1">
      <alignment horizontal="right" vertical="center" wrapText="1"/>
    </xf>
    <xf numFmtId="171" fontId="8" fillId="0" borderId="22" xfId="0" applyNumberFormat="1" applyFont="1" applyBorder="1" applyAlignment="1">
      <alignment horizontal="right" vertical="center" wrapText="1"/>
    </xf>
    <xf numFmtId="171" fontId="8" fillId="0" borderId="22" xfId="0" applyNumberFormat="1" applyFont="1" applyBorder="1" applyAlignment="1">
      <alignment horizontal="right" vertical="center" wrapText="1"/>
    </xf>
    <xf numFmtId="171" fontId="9" fillId="0" borderId="22" xfId="0" applyNumberFormat="1" applyFont="1" applyBorder="1" applyAlignment="1">
      <alignment horizontal="right" vertical="center" wrapText="1"/>
    </xf>
    <xf numFmtId="171" fontId="8" fillId="0" borderId="14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12" xfId="52" applyNumberFormat="1" applyFont="1" applyFill="1" applyBorder="1" applyAlignment="1">
      <alignment horizontal="center" vertical="center"/>
      <protection/>
    </xf>
    <xf numFmtId="2" fontId="4" fillId="0" borderId="70" xfId="52" applyNumberFormat="1" applyFont="1" applyBorder="1" applyAlignment="1">
      <alignment horizontal="center" vertical="center"/>
      <protection/>
    </xf>
    <xf numFmtId="2" fontId="4" fillId="0" borderId="26" xfId="52" applyNumberFormat="1" applyFont="1" applyBorder="1" applyAlignment="1">
      <alignment horizontal="center" vertical="center"/>
      <protection/>
    </xf>
    <xf numFmtId="2" fontId="4" fillId="0" borderId="71" xfId="52" applyNumberFormat="1" applyFont="1" applyBorder="1" applyAlignment="1">
      <alignment horizontal="center" vertical="center"/>
      <protection/>
    </xf>
    <xf numFmtId="2" fontId="4" fillId="0" borderId="72" xfId="52" applyNumberFormat="1" applyFont="1" applyBorder="1" applyAlignment="1">
      <alignment horizontal="center" vertical="center"/>
      <protection/>
    </xf>
    <xf numFmtId="4" fontId="4" fillId="0" borderId="27" xfId="52" applyNumberFormat="1" applyFont="1" applyFill="1" applyBorder="1" applyAlignment="1">
      <alignment vertical="center"/>
      <protection/>
    </xf>
    <xf numFmtId="171" fontId="4" fillId="0" borderId="27" xfId="52" applyNumberFormat="1" applyFont="1" applyFill="1" applyBorder="1" applyAlignment="1">
      <alignment vertical="center"/>
      <protection/>
    </xf>
    <xf numFmtId="2" fontId="4" fillId="0" borderId="58" xfId="52" applyNumberFormat="1" applyFont="1" applyBorder="1" applyAlignment="1">
      <alignment horizontal="center" vertical="center"/>
      <protection/>
    </xf>
    <xf numFmtId="49" fontId="4" fillId="0" borderId="47" xfId="52" applyNumberFormat="1" applyFont="1" applyBorder="1" applyAlignment="1">
      <alignment horizontal="center" vertical="center"/>
      <protection/>
    </xf>
    <xf numFmtId="2" fontId="4" fillId="0" borderId="47" xfId="52" applyNumberFormat="1" applyFont="1" applyBorder="1" applyAlignment="1">
      <alignment horizontal="center" vertical="center"/>
      <protection/>
    </xf>
    <xf numFmtId="2" fontId="4" fillId="0" borderId="41" xfId="52" applyNumberFormat="1" applyFont="1" applyBorder="1" applyAlignment="1">
      <alignment vertical="center"/>
      <protection/>
    </xf>
    <xf numFmtId="4" fontId="4" fillId="0" borderId="42" xfId="52" applyNumberFormat="1" applyFont="1" applyFill="1" applyBorder="1" applyAlignment="1">
      <alignment vertical="center"/>
      <protection/>
    </xf>
    <xf numFmtId="4" fontId="4" fillId="0" borderId="40" xfId="52" applyNumberFormat="1" applyFont="1" applyFill="1" applyBorder="1" applyAlignment="1">
      <alignment vertical="center"/>
      <protection/>
    </xf>
    <xf numFmtId="2" fontId="1" fillId="0" borderId="51" xfId="52" applyNumberFormat="1" applyFont="1" applyBorder="1" applyAlignment="1">
      <alignment horizontal="center" vertical="center"/>
      <protection/>
    </xf>
    <xf numFmtId="2" fontId="1" fillId="0" borderId="50" xfId="52" applyNumberFormat="1" applyFont="1" applyBorder="1" applyAlignment="1">
      <alignment horizontal="center" vertical="center"/>
      <protection/>
    </xf>
    <xf numFmtId="1" fontId="1" fillId="0" borderId="50" xfId="52" applyNumberFormat="1" applyFont="1" applyBorder="1" applyAlignment="1">
      <alignment horizontal="center" vertical="center"/>
      <protection/>
    </xf>
    <xf numFmtId="2" fontId="1" fillId="0" borderId="62" xfId="52" applyNumberFormat="1" applyFont="1" applyBorder="1" applyAlignment="1">
      <alignment vertical="center"/>
      <protection/>
    </xf>
    <xf numFmtId="4" fontId="1" fillId="0" borderId="24" xfId="53" applyNumberFormat="1" applyFont="1" applyFill="1" applyBorder="1" applyAlignment="1">
      <alignment vertical="center"/>
      <protection/>
    </xf>
    <xf numFmtId="4" fontId="1" fillId="0" borderId="49" xfId="52" applyNumberFormat="1" applyFont="1" applyFill="1" applyBorder="1" applyAlignment="1">
      <alignment vertical="center"/>
      <protection/>
    </xf>
    <xf numFmtId="0" fontId="4" fillId="0" borderId="43" xfId="48" applyFont="1" applyFill="1" applyBorder="1" applyAlignment="1">
      <alignment horizontal="center" vertical="center"/>
      <protection/>
    </xf>
    <xf numFmtId="49" fontId="4" fillId="0" borderId="47" xfId="52" applyNumberFormat="1" applyFont="1" applyFill="1" applyBorder="1" applyAlignment="1">
      <alignment horizontal="center" vertical="center" wrapText="1"/>
      <protection/>
    </xf>
    <xf numFmtId="1" fontId="4" fillId="0" borderId="47" xfId="52" applyNumberFormat="1" applyFont="1" applyBorder="1" applyAlignment="1">
      <alignment horizontal="center" vertical="center" wrapText="1"/>
      <protection/>
    </xf>
    <xf numFmtId="2" fontId="4" fillId="0" borderId="41" xfId="52" applyNumberFormat="1" applyFont="1" applyFill="1" applyBorder="1" applyAlignment="1">
      <alignment horizontal="left" vertical="center"/>
      <protection/>
    </xf>
    <xf numFmtId="0" fontId="1" fillId="0" borderId="61" xfId="48" applyFont="1" applyFill="1" applyBorder="1" applyAlignment="1">
      <alignment horizontal="center" vertical="center"/>
      <protection/>
    </xf>
    <xf numFmtId="2" fontId="4" fillId="0" borderId="37" xfId="52" applyNumberFormat="1" applyFont="1" applyBorder="1" applyAlignment="1">
      <alignment horizontal="center" vertical="center"/>
      <protection/>
    </xf>
    <xf numFmtId="1" fontId="1" fillId="0" borderId="37" xfId="52" applyNumberFormat="1" applyFont="1" applyFill="1" applyBorder="1" applyAlignment="1">
      <alignment horizontal="center" vertical="center"/>
      <protection/>
    </xf>
    <xf numFmtId="1" fontId="1" fillId="0" borderId="44" xfId="52" applyNumberFormat="1" applyFont="1" applyFill="1" applyBorder="1" applyAlignment="1">
      <alignment horizontal="center" vertical="center"/>
      <protection/>
    </xf>
    <xf numFmtId="2" fontId="1" fillId="0" borderId="37" xfId="52" applyNumberFormat="1" applyFont="1" applyFill="1" applyBorder="1" applyAlignment="1">
      <alignment horizontal="left" vertical="center"/>
      <protection/>
    </xf>
    <xf numFmtId="4" fontId="1" fillId="0" borderId="59" xfId="52" applyNumberFormat="1" applyFont="1" applyFill="1" applyBorder="1" applyAlignment="1">
      <alignment vertical="center"/>
      <protection/>
    </xf>
    <xf numFmtId="0" fontId="4" fillId="0" borderId="58" xfId="52" applyFont="1" applyFill="1" applyBorder="1" applyAlignment="1">
      <alignment horizontal="center" vertical="center"/>
      <protection/>
    </xf>
    <xf numFmtId="0" fontId="4" fillId="0" borderId="47" xfId="52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vertical="center"/>
      <protection/>
    </xf>
    <xf numFmtId="0" fontId="1" fillId="0" borderId="67" xfId="52" applyFont="1" applyFill="1" applyBorder="1" applyAlignment="1">
      <alignment horizontal="center" vertical="center"/>
      <protection/>
    </xf>
    <xf numFmtId="2" fontId="4" fillId="0" borderId="22" xfId="52" applyNumberFormat="1" applyFont="1" applyBorder="1" applyAlignment="1">
      <alignment horizontal="center" vertical="center"/>
      <protection/>
    </xf>
    <xf numFmtId="1" fontId="1" fillId="0" borderId="22" xfId="52" applyNumberFormat="1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vertical="center" wrapText="1"/>
      <protection/>
    </xf>
    <xf numFmtId="2" fontId="4" fillId="0" borderId="19" xfId="52" applyNumberFormat="1" applyFont="1" applyFill="1" applyBorder="1" applyAlignment="1">
      <alignment vertical="center" wrapText="1"/>
      <protection/>
    </xf>
    <xf numFmtId="4" fontId="4" fillId="0" borderId="40" xfId="53" applyNumberFormat="1" applyFont="1" applyFill="1" applyBorder="1" applyAlignment="1">
      <alignment vertical="center"/>
      <protection/>
    </xf>
    <xf numFmtId="2" fontId="4" fillId="0" borderId="29" xfId="52" applyNumberFormat="1" applyFont="1" applyBorder="1" applyAlignment="1">
      <alignment horizontal="center" vertical="center"/>
      <protection/>
    </xf>
    <xf numFmtId="2" fontId="4" fillId="0" borderId="58" xfId="53" applyNumberFormat="1" applyFont="1" applyBorder="1" applyAlignment="1">
      <alignment horizontal="center" vertical="center" wrapText="1"/>
      <protection/>
    </xf>
    <xf numFmtId="1" fontId="4" fillId="0" borderId="47" xfId="53" applyNumberFormat="1" applyFont="1" applyBorder="1" applyAlignment="1">
      <alignment horizontal="center" vertical="center" wrapText="1"/>
      <protection/>
    </xf>
    <xf numFmtId="2" fontId="4" fillId="0" borderId="41" xfId="53" applyNumberFormat="1" applyFont="1" applyFill="1" applyBorder="1" applyAlignment="1">
      <alignment vertical="center" wrapText="1"/>
      <protection/>
    </xf>
    <xf numFmtId="2" fontId="1" fillId="0" borderId="60" xfId="53" applyNumberFormat="1" applyFont="1" applyBorder="1" applyAlignment="1">
      <alignment horizontal="center" vertical="center"/>
      <protection/>
    </xf>
    <xf numFmtId="2" fontId="4" fillId="0" borderId="37" xfId="53" applyNumberFormat="1" applyFont="1" applyBorder="1" applyAlignment="1">
      <alignment horizontal="center" vertical="center"/>
      <protection/>
    </xf>
    <xf numFmtId="1" fontId="1" fillId="0" borderId="37" xfId="53" applyNumberFormat="1" applyFont="1" applyFill="1" applyBorder="1" applyAlignment="1">
      <alignment horizontal="center" vertical="center"/>
      <protection/>
    </xf>
    <xf numFmtId="1" fontId="1" fillId="0" borderId="50" xfId="53" applyNumberFormat="1" applyFont="1" applyFill="1" applyBorder="1" applyAlignment="1">
      <alignment horizontal="center" vertical="center"/>
      <protection/>
    </xf>
    <xf numFmtId="0" fontId="33" fillId="0" borderId="54" xfId="49" applyFont="1" applyFill="1" applyBorder="1" applyAlignment="1">
      <alignment vertical="center"/>
      <protection/>
    </xf>
    <xf numFmtId="2" fontId="4" fillId="0" borderId="58" xfId="52" applyNumberFormat="1" applyFont="1" applyBorder="1" applyAlignment="1">
      <alignment horizontal="center" vertical="center" wrapText="1"/>
      <protection/>
    </xf>
    <xf numFmtId="2" fontId="4" fillId="0" borderId="41" xfId="52" applyNumberFormat="1" applyFont="1" applyFill="1" applyBorder="1" applyAlignment="1">
      <alignment vertical="center" wrapText="1"/>
      <protection/>
    </xf>
    <xf numFmtId="2" fontId="1" fillId="0" borderId="60" xfId="52" applyNumberFormat="1" applyFont="1" applyBorder="1" applyAlignment="1">
      <alignment horizontal="center" vertical="center"/>
      <protection/>
    </xf>
    <xf numFmtId="1" fontId="1" fillId="0" borderId="50" xfId="52" applyNumberFormat="1" applyFont="1" applyFill="1" applyBorder="1" applyAlignment="1">
      <alignment horizontal="center" vertical="center"/>
      <protection/>
    </xf>
    <xf numFmtId="4" fontId="1" fillId="0" borderId="24" xfId="52" applyNumberFormat="1" applyFont="1" applyFill="1" applyBorder="1" applyAlignment="1">
      <alignment vertical="center"/>
      <protection/>
    </xf>
    <xf numFmtId="2" fontId="1" fillId="0" borderId="69" xfId="52" applyNumberFormat="1" applyFont="1" applyBorder="1" applyAlignment="1">
      <alignment horizontal="center" vertical="center"/>
      <protection/>
    </xf>
    <xf numFmtId="49" fontId="1" fillId="17" borderId="37" xfId="52" applyNumberFormat="1" applyFont="1" applyFill="1" applyBorder="1" applyAlignment="1">
      <alignment horizontal="center" vertical="center"/>
      <protection/>
    </xf>
    <xf numFmtId="1" fontId="1" fillId="0" borderId="37" xfId="52" applyNumberFormat="1" applyFont="1" applyBorder="1" applyAlignment="1">
      <alignment horizontal="center" vertical="center"/>
      <protection/>
    </xf>
    <xf numFmtId="0" fontId="1" fillId="0" borderId="37" xfId="52" applyFont="1" applyBorder="1" applyAlignment="1">
      <alignment horizontal="center" vertical="center"/>
      <protection/>
    </xf>
    <xf numFmtId="4" fontId="1" fillId="0" borderId="73" xfId="52" applyNumberFormat="1" applyFont="1" applyFill="1" applyBorder="1" applyAlignment="1">
      <alignment vertical="center"/>
      <protection/>
    </xf>
    <xf numFmtId="0" fontId="4" fillId="0" borderId="41" xfId="52" applyFont="1" applyFill="1" applyBorder="1" applyAlignment="1">
      <alignment vertical="center"/>
      <protection/>
    </xf>
    <xf numFmtId="0" fontId="33" fillId="0" borderId="21" xfId="49" applyFont="1" applyFill="1" applyBorder="1" applyAlignment="1">
      <alignment vertical="center" wrapText="1"/>
      <protection/>
    </xf>
    <xf numFmtId="4" fontId="0" fillId="0" borderId="0" xfId="0" applyNumberFormat="1" applyAlignment="1">
      <alignment vertical="center"/>
    </xf>
    <xf numFmtId="0" fontId="1" fillId="0" borderId="51" xfId="52" applyFont="1" applyFill="1" applyBorder="1" applyAlignment="1">
      <alignment horizontal="center" vertical="center"/>
      <protection/>
    </xf>
    <xf numFmtId="1" fontId="1" fillId="0" borderId="62" xfId="53" applyNumberFormat="1" applyFont="1" applyFill="1" applyBorder="1" applyAlignment="1">
      <alignment horizontal="center" vertical="center"/>
      <protection/>
    </xf>
    <xf numFmtId="0" fontId="1" fillId="0" borderId="62" xfId="53" applyFont="1" applyBorder="1" applyAlignment="1">
      <alignment vertical="center"/>
      <protection/>
    </xf>
    <xf numFmtId="4" fontId="1" fillId="0" borderId="49" xfId="53" applyNumberFormat="1" applyFont="1" applyFill="1" applyBorder="1" applyAlignment="1">
      <alignment vertical="center"/>
      <protection/>
    </xf>
    <xf numFmtId="0" fontId="41" fillId="0" borderId="32" xfId="53" applyFont="1" applyFill="1" applyBorder="1" applyAlignment="1">
      <alignment horizontal="center" vertical="center"/>
      <protection/>
    </xf>
    <xf numFmtId="0" fontId="41" fillId="0" borderId="14" xfId="53" applyFont="1" applyFill="1" applyBorder="1" applyAlignment="1">
      <alignment horizontal="center" vertical="center"/>
      <protection/>
    </xf>
    <xf numFmtId="0" fontId="39" fillId="0" borderId="26" xfId="52" applyFont="1" applyFill="1" applyBorder="1" applyAlignment="1">
      <alignment horizontal="center" vertical="center"/>
      <protection/>
    </xf>
    <xf numFmtId="0" fontId="41" fillId="0" borderId="15" xfId="52" applyFont="1" applyFill="1" applyBorder="1" applyAlignment="1">
      <alignment vertical="center"/>
      <protection/>
    </xf>
    <xf numFmtId="4" fontId="41" fillId="0" borderId="13" xfId="52" applyNumberFormat="1" applyFont="1" applyFill="1" applyBorder="1" applyAlignment="1">
      <alignment vertical="center"/>
      <protection/>
    </xf>
    <xf numFmtId="0" fontId="0" fillId="0" borderId="0" xfId="52" applyFill="1" applyAlignment="1">
      <alignment vertical="center"/>
      <protection/>
    </xf>
    <xf numFmtId="0" fontId="4" fillId="0" borderId="58" xfId="53" applyFont="1" applyFill="1" applyBorder="1" applyAlignment="1">
      <alignment horizontal="center" vertical="center"/>
      <protection/>
    </xf>
    <xf numFmtId="49" fontId="4" fillId="0" borderId="41" xfId="53" applyNumberFormat="1" applyFont="1" applyFill="1" applyBorder="1" applyAlignment="1">
      <alignment horizontal="center" vertical="center"/>
      <protection/>
    </xf>
    <xf numFmtId="0" fontId="1" fillId="0" borderId="74" xfId="53" applyFont="1" applyFill="1" applyBorder="1" applyAlignment="1">
      <alignment horizontal="center" vertical="center"/>
      <protection/>
    </xf>
    <xf numFmtId="49" fontId="4" fillId="0" borderId="21" xfId="53" applyNumberFormat="1" applyFont="1" applyFill="1" applyBorder="1" applyAlignment="1">
      <alignment horizontal="center" vertical="center"/>
      <protection/>
    </xf>
    <xf numFmtId="1" fontId="1" fillId="0" borderId="21" xfId="52" applyNumberFormat="1" applyFont="1" applyFill="1" applyBorder="1" applyAlignment="1">
      <alignment horizontal="center" vertical="center"/>
      <protection/>
    </xf>
    <xf numFmtId="0" fontId="1" fillId="0" borderId="23" xfId="52" applyFont="1" applyFill="1" applyBorder="1" applyAlignment="1">
      <alignment vertical="center"/>
      <protection/>
    </xf>
    <xf numFmtId="2" fontId="1" fillId="0" borderId="11" xfId="47" applyNumberFormat="1" applyFont="1" applyFill="1" applyBorder="1" applyAlignment="1">
      <alignment horizontal="right" vertical="center"/>
      <protection/>
    </xf>
    <xf numFmtId="4" fontId="1" fillId="0" borderId="25" xfId="52" applyNumberFormat="1" applyFont="1" applyFill="1" applyBorder="1" applyAlignment="1">
      <alignment vertical="center"/>
      <protection/>
    </xf>
    <xf numFmtId="0" fontId="1" fillId="0" borderId="61" xfId="53" applyFont="1" applyFill="1" applyBorder="1" applyAlignment="1">
      <alignment horizontal="center" vertical="center"/>
      <protection/>
    </xf>
    <xf numFmtId="2" fontId="1" fillId="25" borderId="37" xfId="52" applyNumberFormat="1" applyFont="1" applyFill="1" applyBorder="1" applyAlignment="1">
      <alignment horizontal="center" vertical="center"/>
      <protection/>
    </xf>
    <xf numFmtId="1" fontId="1" fillId="0" borderId="62" xfId="52" applyNumberFormat="1" applyFont="1" applyFill="1" applyBorder="1" applyAlignment="1">
      <alignment horizontal="center" vertical="center"/>
      <protection/>
    </xf>
    <xf numFmtId="2" fontId="1" fillId="0" borderId="54" xfId="52" applyNumberFormat="1" applyFont="1" applyFill="1" applyBorder="1" applyAlignment="1">
      <alignment horizontal="left" vertical="center"/>
      <protection/>
    </xf>
    <xf numFmtId="2" fontId="1" fillId="0" borderId="10" xfId="47" applyNumberFormat="1" applyFont="1" applyFill="1" applyBorder="1" applyAlignment="1">
      <alignment horizontal="right" vertical="center"/>
      <protection/>
    </xf>
    <xf numFmtId="0" fontId="4" fillId="0" borderId="68" xfId="53" applyFont="1" applyFill="1" applyBorder="1" applyAlignment="1">
      <alignment horizontal="center" vertical="center"/>
      <protection/>
    </xf>
    <xf numFmtId="49" fontId="4" fillId="0" borderId="18" xfId="53" applyNumberFormat="1" applyFont="1" applyFill="1" applyBorder="1" applyAlignment="1">
      <alignment horizontal="center" vertical="center"/>
      <protection/>
    </xf>
    <xf numFmtId="0" fontId="4" fillId="0" borderId="29" xfId="52" applyFont="1" applyFill="1" applyBorder="1" applyAlignment="1">
      <alignment horizontal="center" vertical="center"/>
      <protection/>
    </xf>
    <xf numFmtId="0" fontId="4" fillId="0" borderId="30" xfId="52" applyFont="1" applyFill="1" applyBorder="1" applyAlignment="1">
      <alignment vertical="center"/>
      <protection/>
    </xf>
    <xf numFmtId="4" fontId="4" fillId="0" borderId="17" xfId="52" applyNumberFormat="1" applyFont="1" applyFill="1" applyBorder="1" applyAlignment="1">
      <alignment vertical="center"/>
      <protection/>
    </xf>
    <xf numFmtId="0" fontId="1" fillId="0" borderId="75" xfId="53" applyFont="1" applyFill="1" applyBorder="1" applyAlignment="1">
      <alignment horizontal="center" vertical="center"/>
      <protection/>
    </xf>
    <xf numFmtId="49" fontId="4" fillId="0" borderId="62" xfId="53" applyNumberFormat="1" applyFont="1" applyFill="1" applyBorder="1" applyAlignment="1">
      <alignment horizontal="center" vertical="center"/>
      <protection/>
    </xf>
    <xf numFmtId="0" fontId="1" fillId="0" borderId="54" xfId="52" applyFont="1" applyFill="1" applyBorder="1" applyAlignment="1">
      <alignment vertical="center"/>
      <protection/>
    </xf>
    <xf numFmtId="4" fontId="1" fillId="0" borderId="76" xfId="52" applyNumberFormat="1" applyFont="1" applyFill="1" applyBorder="1" applyAlignment="1">
      <alignment vertical="center"/>
      <protection/>
    </xf>
    <xf numFmtId="2" fontId="4" fillId="0" borderId="50" xfId="52" applyNumberFormat="1" applyFont="1" applyBorder="1" applyAlignment="1">
      <alignment horizontal="center" vertical="center"/>
      <protection/>
    </xf>
    <xf numFmtId="0" fontId="1" fillId="0" borderId="68" xfId="53" applyFont="1" applyFill="1" applyBorder="1" applyAlignment="1">
      <alignment horizontal="center" vertical="center"/>
      <protection/>
    </xf>
    <xf numFmtId="2" fontId="4" fillId="0" borderId="29" xfId="53" applyNumberFormat="1" applyFont="1" applyBorder="1" applyAlignment="1">
      <alignment horizontal="center" vertical="center"/>
      <protection/>
    </xf>
    <xf numFmtId="1" fontId="1" fillId="0" borderId="29" xfId="53" applyNumberFormat="1" applyFont="1" applyFill="1" applyBorder="1" applyAlignment="1">
      <alignment horizontal="center" vertical="center"/>
      <protection/>
    </xf>
    <xf numFmtId="1" fontId="1" fillId="0" borderId="18" xfId="53" applyNumberFormat="1" applyFont="1" applyBorder="1" applyAlignment="1">
      <alignment horizontal="center" vertical="center"/>
      <protection/>
    </xf>
    <xf numFmtId="2" fontId="1" fillId="0" borderId="29" xfId="53" applyNumberFormat="1" applyFont="1" applyBorder="1" applyAlignment="1">
      <alignment horizontal="left" vertical="center"/>
      <protection/>
    </xf>
    <xf numFmtId="0" fontId="1" fillId="0" borderId="60" xfId="52" applyFont="1" applyFill="1" applyBorder="1" applyAlignment="1">
      <alignment horizontal="center" vertical="center"/>
      <protection/>
    </xf>
    <xf numFmtId="2" fontId="1" fillId="0" borderId="38" xfId="52" applyNumberFormat="1" applyFont="1" applyFill="1" applyBorder="1" applyAlignment="1">
      <alignment horizontal="left" vertical="center"/>
      <protection/>
    </xf>
    <xf numFmtId="171" fontId="1" fillId="0" borderId="45" xfId="53" applyNumberFormat="1" applyFont="1" applyFill="1" applyBorder="1" applyAlignment="1">
      <alignment vertical="center"/>
      <protection/>
    </xf>
    <xf numFmtId="171" fontId="1" fillId="0" borderId="45" xfId="52" applyNumberFormat="1" applyFont="1" applyFill="1" applyBorder="1" applyAlignment="1">
      <alignment vertical="center"/>
      <protection/>
    </xf>
    <xf numFmtId="171" fontId="4" fillId="0" borderId="42" xfId="53" applyNumberFormat="1" applyFont="1" applyFill="1" applyBorder="1" applyAlignment="1">
      <alignment vertical="center"/>
      <protection/>
    </xf>
    <xf numFmtId="0" fontId="1" fillId="0" borderId="67" xfId="53" applyFont="1" applyFill="1" applyBorder="1" applyAlignment="1">
      <alignment horizontal="center" vertical="center"/>
      <protection/>
    </xf>
    <xf numFmtId="2" fontId="4" fillId="0" borderId="22" xfId="53" applyNumberFormat="1" applyFont="1" applyBorder="1" applyAlignment="1">
      <alignment horizontal="center" vertical="center"/>
      <protection/>
    </xf>
    <xf numFmtId="1" fontId="1" fillId="0" borderId="22" xfId="53" applyNumberFormat="1" applyFont="1" applyFill="1" applyBorder="1" applyAlignment="1">
      <alignment horizontal="center" vertical="center"/>
      <protection/>
    </xf>
    <xf numFmtId="1" fontId="1" fillId="0" borderId="21" xfId="53" applyNumberFormat="1" applyFont="1" applyBorder="1" applyAlignment="1">
      <alignment horizontal="center" vertical="center"/>
      <protection/>
    </xf>
    <xf numFmtId="0" fontId="1" fillId="0" borderId="21" xfId="53" applyFont="1" applyBorder="1" applyAlignment="1">
      <alignment vertical="center"/>
      <protection/>
    </xf>
    <xf numFmtId="2" fontId="1" fillId="25" borderId="22" xfId="53" applyNumberFormat="1" applyFont="1" applyFill="1" applyBorder="1" applyAlignment="1">
      <alignment horizontal="center" vertical="center"/>
      <protection/>
    </xf>
    <xf numFmtId="171" fontId="1" fillId="0" borderId="25" xfId="52" applyNumberFormat="1" applyFont="1" applyFill="1" applyBorder="1" applyAlignment="1">
      <alignment vertical="center"/>
      <protection/>
    </xf>
    <xf numFmtId="0" fontId="1" fillId="0" borderId="60" xfId="53" applyFont="1" applyFill="1" applyBorder="1" applyAlignment="1">
      <alignment horizontal="center" vertical="center"/>
      <protection/>
    </xf>
    <xf numFmtId="2" fontId="1" fillId="25" borderId="37" xfId="53" applyNumberFormat="1" applyFont="1" applyFill="1" applyBorder="1" applyAlignment="1">
      <alignment horizontal="center" vertical="center"/>
      <protection/>
    </xf>
    <xf numFmtId="1" fontId="1" fillId="0" borderId="44" xfId="53" applyNumberFormat="1" applyFont="1" applyBorder="1" applyAlignment="1">
      <alignment horizontal="center" vertical="center"/>
      <protection/>
    </xf>
    <xf numFmtId="2" fontId="1" fillId="0" borderId="37" xfId="53" applyNumberFormat="1" applyFont="1" applyBorder="1" applyAlignment="1">
      <alignment horizontal="left" vertical="center"/>
      <protection/>
    </xf>
    <xf numFmtId="171" fontId="0" fillId="0" borderId="0" xfId="0" applyNumberFormat="1" applyAlignment="1">
      <alignment vertical="center"/>
    </xf>
    <xf numFmtId="2" fontId="1" fillId="0" borderId="22" xfId="53" applyNumberFormat="1" applyFont="1" applyBorder="1" applyAlignment="1">
      <alignment horizontal="left" vertical="center"/>
      <protection/>
    </xf>
    <xf numFmtId="0" fontId="1" fillId="0" borderId="51" xfId="53" applyFont="1" applyFill="1" applyBorder="1" applyAlignment="1">
      <alignment horizontal="center" vertical="center"/>
      <protection/>
    </xf>
    <xf numFmtId="2" fontId="1" fillId="25" borderId="50" xfId="53" applyNumberFormat="1" applyFont="1" applyFill="1" applyBorder="1" applyAlignment="1">
      <alignment horizontal="center" vertical="center"/>
      <protection/>
    </xf>
    <xf numFmtId="1" fontId="1" fillId="0" borderId="62" xfId="53" applyNumberFormat="1" applyFont="1" applyBorder="1" applyAlignment="1">
      <alignment horizontal="center" vertical="center"/>
      <protection/>
    </xf>
    <xf numFmtId="2" fontId="1" fillId="0" borderId="50" xfId="53" applyNumberFormat="1" applyFont="1" applyBorder="1" applyAlignment="1">
      <alignment horizontal="left" vertical="center"/>
      <protection/>
    </xf>
    <xf numFmtId="171" fontId="1" fillId="0" borderId="10" xfId="53" applyNumberFormat="1" applyFont="1" applyFill="1" applyBorder="1" applyAlignment="1">
      <alignment vertical="center"/>
      <protection/>
    </xf>
    <xf numFmtId="171" fontId="1" fillId="0" borderId="76" xfId="52" applyNumberFormat="1" applyFont="1" applyFill="1" applyBorder="1" applyAlignment="1">
      <alignment vertical="center"/>
      <protection/>
    </xf>
    <xf numFmtId="0" fontId="41" fillId="0" borderId="15" xfId="52" applyFont="1" applyFill="1" applyBorder="1" applyAlignment="1">
      <alignment vertical="center" wrapText="1"/>
      <protection/>
    </xf>
    <xf numFmtId="2" fontId="1" fillId="0" borderId="23" xfId="52" applyNumberFormat="1" applyFont="1" applyFill="1" applyBorder="1" applyAlignment="1">
      <alignment horizontal="left" vertical="center"/>
      <protection/>
    </xf>
    <xf numFmtId="0" fontId="1" fillId="0" borderId="20" xfId="53" applyFont="1" applyFill="1" applyBorder="1" applyAlignment="1">
      <alignment horizontal="center" vertical="center"/>
      <protection/>
    </xf>
    <xf numFmtId="2" fontId="1" fillId="25" borderId="22" xfId="52" applyNumberFormat="1" applyFont="1" applyFill="1" applyBorder="1" applyAlignment="1">
      <alignment horizontal="center" vertical="center"/>
      <protection/>
    </xf>
    <xf numFmtId="2" fontId="1" fillId="26" borderId="37" xfId="52" applyNumberFormat="1" applyFont="1" applyFill="1" applyBorder="1" applyAlignment="1">
      <alignment horizontal="center" vertical="center"/>
      <protection/>
    </xf>
    <xf numFmtId="2" fontId="1" fillId="0" borderId="45" xfId="47" applyNumberFormat="1" applyFont="1" applyFill="1" applyBorder="1" applyAlignment="1">
      <alignment horizontal="right" vertical="center"/>
      <protection/>
    </xf>
    <xf numFmtId="0" fontId="1" fillId="0" borderId="68" xfId="52" applyFont="1" applyFill="1" applyBorder="1" applyAlignment="1">
      <alignment horizontal="center" vertical="center"/>
      <protection/>
    </xf>
    <xf numFmtId="1" fontId="1" fillId="0" borderId="29" xfId="52" applyNumberFormat="1" applyFont="1" applyFill="1" applyBorder="1" applyAlignment="1">
      <alignment horizontal="center" vertical="center"/>
      <protection/>
    </xf>
    <xf numFmtId="1" fontId="1" fillId="0" borderId="18" xfId="52" applyNumberFormat="1" applyFont="1" applyFill="1" applyBorder="1" applyAlignment="1">
      <alignment horizontal="center" vertical="center"/>
      <protection/>
    </xf>
    <xf numFmtId="2" fontId="1" fillId="0" borderId="30" xfId="52" applyNumberFormat="1" applyFont="1" applyFill="1" applyBorder="1" applyAlignment="1">
      <alignment horizontal="left" vertical="center"/>
      <protection/>
    </xf>
    <xf numFmtId="0" fontId="33" fillId="0" borderId="54" xfId="49" applyFont="1" applyFill="1" applyBorder="1" applyAlignment="1">
      <alignment vertical="center" wrapText="1"/>
      <protection/>
    </xf>
    <xf numFmtId="2" fontId="1" fillId="25" borderId="50" xfId="52" applyNumberFormat="1" applyFont="1" applyFill="1" applyBorder="1" applyAlignment="1">
      <alignment horizontal="center" vertical="center"/>
      <protection/>
    </xf>
    <xf numFmtId="2" fontId="4" fillId="0" borderId="50" xfId="53" applyNumberFormat="1" applyFont="1" applyBorder="1" applyAlignment="1">
      <alignment horizontal="center" vertical="center"/>
      <protection/>
    </xf>
    <xf numFmtId="0" fontId="1" fillId="0" borderId="53" xfId="53" applyFont="1" applyFill="1" applyBorder="1" applyAlignment="1">
      <alignment horizontal="center" vertical="center"/>
      <protection/>
    </xf>
    <xf numFmtId="0" fontId="1" fillId="0" borderId="49" xfId="53" applyFont="1" applyFill="1" applyBorder="1" applyAlignment="1">
      <alignment horizontal="center" vertical="center"/>
      <protection/>
    </xf>
    <xf numFmtId="0" fontId="1" fillId="0" borderId="49" xfId="52" applyFont="1" applyFill="1" applyBorder="1" applyAlignment="1">
      <alignment horizontal="center" vertical="center"/>
      <protection/>
    </xf>
    <xf numFmtId="2" fontId="1" fillId="26" borderId="50" xfId="52" applyNumberFormat="1" applyFont="1" applyFill="1" applyBorder="1" applyAlignment="1">
      <alignment horizontal="center" vertical="center"/>
      <protection/>
    </xf>
    <xf numFmtId="171" fontId="6" fillId="0" borderId="46" xfId="53" applyNumberFormat="1" applyFont="1" applyFill="1" applyBorder="1" applyAlignment="1">
      <alignment vertical="center"/>
      <protection/>
    </xf>
    <xf numFmtId="171" fontId="1" fillId="0" borderId="11" xfId="53" applyNumberFormat="1" applyFont="1" applyFill="1" applyBorder="1" applyAlignment="1">
      <alignment vertical="center"/>
      <protection/>
    </xf>
    <xf numFmtId="171" fontId="4" fillId="0" borderId="12" xfId="52" applyNumberFormat="1" applyFont="1" applyFill="1" applyBorder="1" applyAlignment="1">
      <alignment vertical="center"/>
      <protection/>
    </xf>
    <xf numFmtId="171" fontId="36" fillId="0" borderId="12" xfId="52" applyNumberFormat="1" applyFont="1" applyFill="1" applyBorder="1" applyAlignment="1">
      <alignment vertical="center"/>
      <protection/>
    </xf>
    <xf numFmtId="171" fontId="9" fillId="0" borderId="29" xfId="0" applyNumberFormat="1" applyFont="1" applyFill="1" applyBorder="1" applyAlignment="1">
      <alignment horizontal="right" vertical="center" wrapText="1"/>
    </xf>
    <xf numFmtId="171" fontId="9" fillId="0" borderId="29" xfId="0" applyNumberFormat="1" applyFont="1" applyBorder="1" applyAlignment="1">
      <alignment horizontal="right" vertical="center" wrapText="1"/>
    </xf>
    <xf numFmtId="171" fontId="8" fillId="0" borderId="26" xfId="0" applyNumberFormat="1" applyFont="1" applyBorder="1" applyAlignment="1">
      <alignment horizontal="right" vertical="center" wrapText="1"/>
    </xf>
    <xf numFmtId="171" fontId="5" fillId="0" borderId="0" xfId="53" applyNumberFormat="1" applyFont="1" applyFill="1" applyAlignment="1">
      <alignment vertical="center"/>
      <protection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77" xfId="52" applyFont="1" applyFill="1" applyBorder="1" applyAlignment="1">
      <alignment horizontal="center" vertical="center"/>
      <protection/>
    </xf>
    <xf numFmtId="0" fontId="4" fillId="0" borderId="78" xfId="52" applyFont="1" applyFill="1" applyBorder="1" applyAlignment="1">
      <alignment horizontal="center" vertical="center"/>
      <protection/>
    </xf>
    <xf numFmtId="0" fontId="4" fillId="0" borderId="79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4" fillId="0" borderId="80" xfId="52" applyFont="1" applyFill="1" applyBorder="1" applyAlignment="1">
      <alignment horizontal="center" vertical="center"/>
      <protection/>
    </xf>
    <xf numFmtId="0" fontId="4" fillId="0" borderId="45" xfId="52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0" fillId="0" borderId="0" xfId="52" applyFont="1" applyFill="1" applyAlignment="1">
      <alignment horizontal="center" vertical="center"/>
      <protection/>
    </xf>
    <xf numFmtId="0" fontId="0" fillId="0" borderId="0" xfId="52" applyFont="1" applyFill="1" applyAlignment="1">
      <alignment horizontal="center" vertical="center"/>
      <protection/>
    </xf>
    <xf numFmtId="49" fontId="4" fillId="0" borderId="70" xfId="52" applyNumberFormat="1" applyFont="1" applyFill="1" applyBorder="1" applyAlignment="1">
      <alignment horizontal="center" vertical="center"/>
      <protection/>
    </xf>
    <xf numFmtId="49" fontId="4" fillId="0" borderId="31" xfId="52" applyNumberFormat="1" applyFont="1" applyFill="1" applyBorder="1" applyAlignment="1">
      <alignment horizontal="center" vertical="center"/>
      <protection/>
    </xf>
    <xf numFmtId="0" fontId="4" fillId="0" borderId="71" xfId="52" applyFont="1" applyFill="1" applyBorder="1" applyAlignment="1">
      <alignment horizontal="center" vertical="center"/>
      <protection/>
    </xf>
    <xf numFmtId="0" fontId="4" fillId="0" borderId="37" xfId="52" applyFont="1" applyFill="1" applyBorder="1" applyAlignment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4" fillId="0" borderId="79" xfId="54" applyFont="1" applyBorder="1" applyAlignment="1">
      <alignment horizontal="center" vertical="center"/>
      <protection/>
    </xf>
    <xf numFmtId="0" fontId="4" fillId="0" borderId="61" xfId="54" applyFont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34" xfId="52" applyFont="1" applyFill="1" applyBorder="1" applyAlignment="1">
      <alignment horizontal="center" vertical="center"/>
      <protection/>
    </xf>
    <xf numFmtId="0" fontId="1" fillId="0" borderId="80" xfId="52" applyFont="1" applyBorder="1" applyAlignment="1">
      <alignment horizontal="center" vertical="center" textRotation="90" wrapText="1"/>
      <protection/>
    </xf>
    <xf numFmtId="0" fontId="1" fillId="0" borderId="39" xfId="52" applyFont="1" applyBorder="1" applyAlignment="1">
      <alignment horizontal="center" vertical="center" textRotation="90" wrapText="1"/>
      <protection/>
    </xf>
    <xf numFmtId="0" fontId="1" fillId="0" borderId="45" xfId="52" applyFont="1" applyBorder="1" applyAlignment="1">
      <alignment horizontal="center" vertical="center" textRotation="90" wrapText="1"/>
      <protection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2" fontId="4" fillId="0" borderId="81" xfId="52" applyNumberFormat="1" applyFont="1" applyBorder="1" applyAlignment="1">
      <alignment horizontal="center" vertical="center"/>
      <protection/>
    </xf>
    <xf numFmtId="2" fontId="4" fillId="0" borderId="73" xfId="52" applyNumberFormat="1" applyFont="1" applyBorder="1" applyAlignment="1">
      <alignment horizontal="center" vertical="center"/>
      <protection/>
    </xf>
    <xf numFmtId="2" fontId="4" fillId="0" borderId="59" xfId="52" applyNumberFormat="1" applyFont="1" applyBorder="1" applyAlignment="1">
      <alignment horizontal="center" vertical="center"/>
      <protection/>
    </xf>
    <xf numFmtId="2" fontId="4" fillId="0" borderId="71" xfId="52" applyNumberFormat="1" applyFont="1" applyBorder="1" applyAlignment="1">
      <alignment horizontal="center" vertical="center"/>
      <protection/>
    </xf>
    <xf numFmtId="2" fontId="4" fillId="0" borderId="37" xfId="52" applyNumberFormat="1" applyFont="1" applyBorder="1" applyAlignment="1">
      <alignment horizontal="center" vertical="center"/>
      <protection/>
    </xf>
    <xf numFmtId="2" fontId="4" fillId="0" borderId="72" xfId="52" applyNumberFormat="1" applyFont="1" applyBorder="1" applyAlignment="1">
      <alignment horizontal="center" vertical="center"/>
      <protection/>
    </xf>
    <xf numFmtId="2" fontId="4" fillId="0" borderId="44" xfId="52" applyNumberFormat="1" applyFont="1" applyBorder="1" applyAlignment="1">
      <alignment horizontal="center" vertical="center"/>
      <protection/>
    </xf>
    <xf numFmtId="0" fontId="4" fillId="0" borderId="80" xfId="54" applyFont="1" applyBorder="1" applyAlignment="1">
      <alignment horizontal="center" vertical="center"/>
      <protection/>
    </xf>
    <xf numFmtId="0" fontId="4" fillId="0" borderId="45" xfId="54" applyFont="1" applyBorder="1" applyAlignment="1">
      <alignment horizontal="center" vertical="center"/>
      <protection/>
    </xf>
    <xf numFmtId="0" fontId="4" fillId="0" borderId="71" xfId="54" applyFont="1" applyBorder="1" applyAlignment="1">
      <alignment horizontal="center" vertical="center"/>
      <protection/>
    </xf>
    <xf numFmtId="0" fontId="4" fillId="0" borderId="37" xfId="54" applyFont="1" applyBorder="1" applyAlignment="1">
      <alignment horizontal="center" vertical="center"/>
      <protection/>
    </xf>
    <xf numFmtId="0" fontId="4" fillId="0" borderId="71" xfId="54" applyFont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1" fillId="0" borderId="80" xfId="54" applyFont="1" applyBorder="1" applyAlignment="1">
      <alignment horizontal="center" vertical="center" textRotation="90" wrapText="1"/>
      <protection/>
    </xf>
    <xf numFmtId="0" fontId="1" fillId="0" borderId="39" xfId="54" applyFont="1" applyBorder="1" applyAlignment="1">
      <alignment horizontal="center" vertical="center" textRotation="90" wrapText="1"/>
      <protection/>
    </xf>
    <xf numFmtId="0" fontId="1" fillId="0" borderId="45" xfId="54" applyFont="1" applyBorder="1" applyAlignment="1">
      <alignment horizontal="center" vertical="center" textRotation="90" wrapText="1"/>
      <protection/>
    </xf>
    <xf numFmtId="0" fontId="34" fillId="0" borderId="0" xfId="51" applyFont="1" applyAlignment="1">
      <alignment horizontal="center" vertical="center"/>
      <protection/>
    </xf>
    <xf numFmtId="49" fontId="4" fillId="0" borderId="80" xfId="54" applyNumberFormat="1" applyFont="1" applyBorder="1" applyAlignment="1">
      <alignment horizontal="center" vertical="center"/>
      <protection/>
    </xf>
    <xf numFmtId="49" fontId="4" fillId="0" borderId="45" xfId="54" applyNumberFormat="1" applyFont="1" applyBorder="1" applyAlignment="1">
      <alignment horizontal="center" vertical="center"/>
      <protection/>
    </xf>
    <xf numFmtId="0" fontId="4" fillId="0" borderId="81" xfId="54" applyFont="1" applyBorder="1" applyAlignment="1">
      <alignment horizontal="center" vertical="center"/>
      <protection/>
    </xf>
    <xf numFmtId="0" fontId="4" fillId="0" borderId="59" xfId="54" applyFont="1" applyBorder="1" applyAlignment="1">
      <alignment horizontal="center" vertical="center"/>
      <protection/>
    </xf>
    <xf numFmtId="4" fontId="8" fillId="0" borderId="22" xfId="0" applyNumberFormat="1" applyFont="1" applyBorder="1" applyAlignment="1">
      <alignment horizontal="right" vertical="center" wrapText="1"/>
    </xf>
    <xf numFmtId="4" fontId="8" fillId="0" borderId="29" xfId="0" applyNumberFormat="1" applyFont="1" applyBorder="1" applyAlignment="1">
      <alignment horizontal="right" vertical="center" wrapText="1"/>
    </xf>
    <xf numFmtId="4" fontId="9" fillId="0" borderId="63" xfId="0" applyNumberFormat="1" applyFont="1" applyBorder="1" applyAlignment="1">
      <alignment horizontal="right" vertical="center" wrapText="1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06 - OD" xfId="48"/>
    <cellStyle name="normální_2. čtení rozpočtu 2006 - příjmy" xfId="49"/>
    <cellStyle name="normální_2. čtení rozpočtu 2006 - příjmy 2" xfId="50"/>
    <cellStyle name="normální_2. Rozpočet 2007 - tabulky" xfId="51"/>
    <cellStyle name="normální_Rozpis výdajů 03 bez PO 2" xfId="52"/>
    <cellStyle name="normální_Rozpis výdajů 03 bez PO 2 2" xfId="53"/>
    <cellStyle name="normální_Rozpis výdajů 03 bez PO 3" xfId="54"/>
    <cellStyle name="normální_Rozpis výdajů 03 bez PO_06 - OD" xfId="55"/>
    <cellStyle name="normální_Rozpočet 2005 (ZK)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49"/>
  <sheetViews>
    <sheetView tabSelected="1" zoomScalePageLayoutView="0" workbookViewId="0" topLeftCell="A25">
      <selection activeCell="D48" sqref="D48"/>
    </sheetView>
  </sheetViews>
  <sheetFormatPr defaultColWidth="9.140625" defaultRowHeight="12.75"/>
  <cols>
    <col min="1" max="1" width="37.8515625" style="4" customWidth="1"/>
    <col min="2" max="2" width="7.421875" style="4" customWidth="1"/>
    <col min="3" max="4" width="12.8515625" style="4" customWidth="1"/>
    <col min="5" max="6" width="13.140625" style="4" bestFit="1" customWidth="1"/>
    <col min="7" max="16384" width="9.140625" style="4" customWidth="1"/>
  </cols>
  <sheetData>
    <row r="1" spans="1:6" ht="20.25">
      <c r="A1" s="518" t="s">
        <v>69</v>
      </c>
      <c r="B1" s="518"/>
      <c r="C1" s="518"/>
      <c r="D1" s="518"/>
      <c r="E1" s="518"/>
      <c r="F1" s="518"/>
    </row>
    <row r="2" ht="18" customHeight="1"/>
    <row r="3" spans="1:6" ht="16.5" customHeight="1">
      <c r="A3" s="519" t="s">
        <v>51</v>
      </c>
      <c r="B3" s="519"/>
      <c r="C3" s="519"/>
      <c r="D3" s="519"/>
      <c r="E3" s="519"/>
      <c r="F3" s="519"/>
    </row>
    <row r="4" ht="12.75" customHeight="1" thickBot="1"/>
    <row r="5" spans="1:6" ht="15" customHeight="1" thickBot="1">
      <c r="A5" s="5" t="s">
        <v>1</v>
      </c>
      <c r="B5" s="6" t="s">
        <v>2</v>
      </c>
      <c r="C5" s="7" t="s">
        <v>70</v>
      </c>
      <c r="D5" s="31" t="s">
        <v>71</v>
      </c>
      <c r="E5" s="7" t="s">
        <v>0</v>
      </c>
      <c r="F5" s="8" t="s">
        <v>72</v>
      </c>
    </row>
    <row r="6" spans="1:6" ht="15" customHeight="1">
      <c r="A6" s="9" t="s">
        <v>9</v>
      </c>
      <c r="B6" s="10" t="s">
        <v>28</v>
      </c>
      <c r="C6" s="11">
        <f>C7+C8+C9</f>
        <v>2280088</v>
      </c>
      <c r="D6" s="567">
        <f>D7+D8+D9</f>
        <v>2357272.9</v>
      </c>
      <c r="E6" s="360">
        <f>SUM(E7:E9)</f>
        <v>101.479</v>
      </c>
      <c r="F6" s="12">
        <f>SUM(F7:F9)</f>
        <v>2357374.379</v>
      </c>
    </row>
    <row r="7" spans="1:6" ht="15" customHeight="1">
      <c r="A7" s="13" t="s">
        <v>10</v>
      </c>
      <c r="B7" s="14" t="s">
        <v>11</v>
      </c>
      <c r="C7" s="15">
        <v>2211000</v>
      </c>
      <c r="D7" s="16">
        <v>2220140.21</v>
      </c>
      <c r="E7" s="359"/>
      <c r="F7" s="17">
        <f>D7+E7</f>
        <v>2220140.21</v>
      </c>
    </row>
    <row r="8" spans="1:6" ht="15" customHeight="1">
      <c r="A8" s="13" t="s">
        <v>12</v>
      </c>
      <c r="B8" s="14" t="s">
        <v>13</v>
      </c>
      <c r="C8" s="15">
        <v>69088</v>
      </c>
      <c r="D8" s="16">
        <v>135607.13</v>
      </c>
      <c r="E8" s="359">
        <f>'příjmy OD'!J11</f>
        <v>101.479</v>
      </c>
      <c r="F8" s="17">
        <f>D8+E8</f>
        <v>135708.609</v>
      </c>
    </row>
    <row r="9" spans="1:6" ht="15" customHeight="1">
      <c r="A9" s="13" t="s">
        <v>14</v>
      </c>
      <c r="B9" s="14" t="s">
        <v>15</v>
      </c>
      <c r="C9" s="15">
        <v>0</v>
      </c>
      <c r="D9" s="16">
        <v>1525.56</v>
      </c>
      <c r="E9" s="359"/>
      <c r="F9" s="17">
        <f>D9+E9</f>
        <v>1525.56</v>
      </c>
    </row>
    <row r="10" spans="1:6" ht="15" customHeight="1">
      <c r="A10" s="18" t="s">
        <v>16</v>
      </c>
      <c r="B10" s="14" t="s">
        <v>17</v>
      </c>
      <c r="C10" s="19">
        <f>C11+C16</f>
        <v>85842</v>
      </c>
      <c r="D10" s="566">
        <f>D11+D16</f>
        <v>4798409.52</v>
      </c>
      <c r="E10" s="361">
        <f>E11+E16</f>
        <v>0</v>
      </c>
      <c r="F10" s="20">
        <f>F11+F16</f>
        <v>4798409.52</v>
      </c>
    </row>
    <row r="11" spans="1:6" ht="15" customHeight="1">
      <c r="A11" s="21" t="s">
        <v>53</v>
      </c>
      <c r="B11" s="14" t="s">
        <v>18</v>
      </c>
      <c r="C11" s="15">
        <f>SUM(C12:C15)</f>
        <v>85842</v>
      </c>
      <c r="D11" s="16">
        <f>D12+D13+D14+D15</f>
        <v>4086977.4499999997</v>
      </c>
      <c r="E11" s="362">
        <f>SUM(E12:E15)</f>
        <v>0</v>
      </c>
      <c r="F11" s="17">
        <f>SUM(F12:F15)</f>
        <v>4086977.4499999997</v>
      </c>
    </row>
    <row r="12" spans="1:6" ht="15" customHeight="1">
      <c r="A12" s="21" t="s">
        <v>54</v>
      </c>
      <c r="B12" s="14" t="s">
        <v>19</v>
      </c>
      <c r="C12" s="22">
        <v>61072</v>
      </c>
      <c r="D12" s="16">
        <v>61072</v>
      </c>
      <c r="E12" s="359"/>
      <c r="F12" s="17">
        <f>D12+E12</f>
        <v>61072</v>
      </c>
    </row>
    <row r="13" spans="1:6" ht="15" customHeight="1">
      <c r="A13" s="21" t="s">
        <v>55</v>
      </c>
      <c r="B13" s="14" t="s">
        <v>18</v>
      </c>
      <c r="C13" s="22">
        <v>0</v>
      </c>
      <c r="D13" s="16">
        <v>3990675.28</v>
      </c>
      <c r="E13" s="359"/>
      <c r="F13" s="17">
        <f>D13+E13</f>
        <v>3990675.28</v>
      </c>
    </row>
    <row r="14" spans="1:6" ht="15" customHeight="1">
      <c r="A14" s="21" t="s">
        <v>61</v>
      </c>
      <c r="B14" s="14" t="s">
        <v>62</v>
      </c>
      <c r="C14" s="22">
        <v>0</v>
      </c>
      <c r="D14" s="16">
        <v>10460.17</v>
      </c>
      <c r="E14" s="359"/>
      <c r="F14" s="17">
        <f>D14+E14</f>
        <v>10460.17</v>
      </c>
    </row>
    <row r="15" spans="1:6" ht="15" customHeight="1">
      <c r="A15" s="21" t="s">
        <v>56</v>
      </c>
      <c r="B15" s="14">
        <v>4121</v>
      </c>
      <c r="C15" s="22">
        <v>24770</v>
      </c>
      <c r="D15" s="16">
        <v>24770</v>
      </c>
      <c r="E15" s="359"/>
      <c r="F15" s="17">
        <f>D15+E15</f>
        <v>24770</v>
      </c>
    </row>
    <row r="16" spans="1:6" ht="15" customHeight="1">
      <c r="A16" s="13" t="s">
        <v>29</v>
      </c>
      <c r="B16" s="14" t="s">
        <v>20</v>
      </c>
      <c r="C16" s="22">
        <f>SUM(C17:C19)</f>
        <v>0</v>
      </c>
      <c r="D16" s="16">
        <f>D17+D18+D19</f>
        <v>711432.0700000001</v>
      </c>
      <c r="E16" s="362">
        <f>SUM(E17:E19)</f>
        <v>0</v>
      </c>
      <c r="F16" s="17">
        <f>SUM(F17:F19)</f>
        <v>711432.0700000001</v>
      </c>
    </row>
    <row r="17" spans="1:6" ht="15" customHeight="1">
      <c r="A17" s="13" t="s">
        <v>59</v>
      </c>
      <c r="B17" s="14" t="s">
        <v>20</v>
      </c>
      <c r="C17" s="22">
        <v>0</v>
      </c>
      <c r="D17" s="16">
        <v>709937.4</v>
      </c>
      <c r="E17" s="359"/>
      <c r="F17" s="17">
        <f>D17+E17</f>
        <v>709937.4</v>
      </c>
    </row>
    <row r="18" spans="1:6" ht="15" customHeight="1">
      <c r="A18" s="21" t="s">
        <v>60</v>
      </c>
      <c r="B18" s="14">
        <v>4221</v>
      </c>
      <c r="C18" s="22">
        <v>0</v>
      </c>
      <c r="D18" s="16">
        <v>0</v>
      </c>
      <c r="E18" s="359"/>
      <c r="F18" s="17">
        <f>D18+E18</f>
        <v>0</v>
      </c>
    </row>
    <row r="19" spans="1:6" ht="15" customHeight="1">
      <c r="A19" s="21" t="s">
        <v>63</v>
      </c>
      <c r="B19" s="14">
        <v>4232</v>
      </c>
      <c r="C19" s="22">
        <v>0</v>
      </c>
      <c r="D19" s="16">
        <v>1494.67</v>
      </c>
      <c r="E19" s="359"/>
      <c r="F19" s="17">
        <f>D19+E19</f>
        <v>1494.67</v>
      </c>
    </row>
    <row r="20" spans="1:6" ht="15" customHeight="1">
      <c r="A20" s="18" t="s">
        <v>21</v>
      </c>
      <c r="B20" s="23" t="s">
        <v>30</v>
      </c>
      <c r="C20" s="19">
        <f>C6+C10</f>
        <v>2365930</v>
      </c>
      <c r="D20" s="566">
        <f>D6+D10</f>
        <v>7155682.42</v>
      </c>
      <c r="E20" s="363">
        <f>E6+E10</f>
        <v>101.479</v>
      </c>
      <c r="F20" s="20">
        <f>F6+F10</f>
        <v>7155783.899</v>
      </c>
    </row>
    <row r="21" spans="1:6" ht="15" customHeight="1">
      <c r="A21" s="18" t="s">
        <v>22</v>
      </c>
      <c r="B21" s="23" t="s">
        <v>23</v>
      </c>
      <c r="C21" s="19">
        <f>SUM(C22:C25)</f>
        <v>-96875</v>
      </c>
      <c r="D21" s="566">
        <f>SUM(D22:D25)</f>
        <v>935774.76</v>
      </c>
      <c r="E21" s="363">
        <f>SUM(E22:E25)</f>
        <v>0</v>
      </c>
      <c r="F21" s="24">
        <f>SUM(F22:F25)</f>
        <v>935774.76</v>
      </c>
    </row>
    <row r="22" spans="1:6" ht="15" customHeight="1">
      <c r="A22" s="21" t="s">
        <v>73</v>
      </c>
      <c r="B22" s="14" t="s">
        <v>24</v>
      </c>
      <c r="C22" s="22">
        <v>0</v>
      </c>
      <c r="D22" s="16">
        <v>84875.51</v>
      </c>
      <c r="E22" s="364"/>
      <c r="F22" s="17">
        <f>D22+E22</f>
        <v>84875.51</v>
      </c>
    </row>
    <row r="23" spans="1:6" ht="15" customHeight="1">
      <c r="A23" s="21" t="s">
        <v>74</v>
      </c>
      <c r="B23" s="14" t="s">
        <v>24</v>
      </c>
      <c r="C23" s="22">
        <v>0</v>
      </c>
      <c r="D23" s="16">
        <v>947774.25</v>
      </c>
      <c r="E23" s="365"/>
      <c r="F23" s="17">
        <f>D23+E23</f>
        <v>947774.25</v>
      </c>
    </row>
    <row r="24" spans="1:6" ht="15" customHeight="1">
      <c r="A24" s="21" t="s">
        <v>75</v>
      </c>
      <c r="B24" s="14" t="s">
        <v>57</v>
      </c>
      <c r="C24" s="22">
        <v>0</v>
      </c>
      <c r="D24" s="16">
        <v>0</v>
      </c>
      <c r="E24" s="359"/>
      <c r="F24" s="17">
        <f>D24+E24</f>
        <v>0</v>
      </c>
    </row>
    <row r="25" spans="1:6" ht="15" customHeight="1" thickBot="1">
      <c r="A25" s="21" t="s">
        <v>76</v>
      </c>
      <c r="B25" s="14">
        <v>8124</v>
      </c>
      <c r="C25" s="22">
        <v>-96875</v>
      </c>
      <c r="D25" s="568">
        <v>-96875</v>
      </c>
      <c r="E25" s="365"/>
      <c r="F25" s="17">
        <f>D25+E25</f>
        <v>-96875</v>
      </c>
    </row>
    <row r="26" spans="1:6" ht="15" customHeight="1" thickBot="1">
      <c r="A26" s="25" t="s">
        <v>25</v>
      </c>
      <c r="B26" s="26"/>
      <c r="C26" s="27">
        <f>C21+C10+C6</f>
        <v>2269055</v>
      </c>
      <c r="D26" s="28">
        <f>D21+D10+D6</f>
        <v>8091457.18</v>
      </c>
      <c r="E26" s="366">
        <f>E6+E10+E21</f>
        <v>101.479</v>
      </c>
      <c r="F26" s="29">
        <f>D26+E26</f>
        <v>8091558.659</v>
      </c>
    </row>
    <row r="28" ht="9.75">
      <c r="E28" s="39"/>
    </row>
    <row r="29" spans="1:6" ht="17.25">
      <c r="A29" s="519" t="s">
        <v>52</v>
      </c>
      <c r="B29" s="519"/>
      <c r="C29" s="519"/>
      <c r="D29" s="519"/>
      <c r="E29" s="519"/>
      <c r="F29" s="519"/>
    </row>
    <row r="30" spans="1:6" ht="12" customHeight="1" thickBot="1">
      <c r="A30" s="3"/>
      <c r="B30" s="3"/>
      <c r="C30" s="3"/>
      <c r="D30" s="3"/>
      <c r="E30" s="3"/>
      <c r="F30" s="3"/>
    </row>
    <row r="31" spans="1:6" ht="15" customHeight="1" thickBot="1">
      <c r="A31" s="30" t="s">
        <v>31</v>
      </c>
      <c r="B31" s="31" t="s">
        <v>2</v>
      </c>
      <c r="C31" s="7" t="s">
        <v>70</v>
      </c>
      <c r="D31" s="31" t="s">
        <v>71</v>
      </c>
      <c r="E31" s="7" t="s">
        <v>0</v>
      </c>
      <c r="F31" s="8" t="s">
        <v>72</v>
      </c>
    </row>
    <row r="32" spans="1:6" ht="15" customHeight="1">
      <c r="A32" s="32" t="s">
        <v>32</v>
      </c>
      <c r="B32" s="33" t="s">
        <v>33</v>
      </c>
      <c r="C32" s="34">
        <v>26192.5</v>
      </c>
      <c r="D32" s="34">
        <v>26192.5</v>
      </c>
      <c r="E32" s="34"/>
      <c r="F32" s="36">
        <f>D32+E32</f>
        <v>26192.5</v>
      </c>
    </row>
    <row r="33" spans="1:6" ht="15" customHeight="1">
      <c r="A33" s="37" t="s">
        <v>34</v>
      </c>
      <c r="B33" s="38" t="s">
        <v>33</v>
      </c>
      <c r="C33" s="16">
        <v>238156.72</v>
      </c>
      <c r="D33" s="16">
        <v>242489.92</v>
      </c>
      <c r="E33" s="34"/>
      <c r="F33" s="36">
        <f>D33+E33</f>
        <v>242489.92</v>
      </c>
    </row>
    <row r="34" spans="1:6" ht="15" customHeight="1">
      <c r="A34" s="37" t="s">
        <v>35</v>
      </c>
      <c r="B34" s="38" t="s">
        <v>33</v>
      </c>
      <c r="C34" s="16">
        <v>857900</v>
      </c>
      <c r="D34" s="16">
        <v>876172.86</v>
      </c>
      <c r="E34" s="34"/>
      <c r="F34" s="36">
        <f aca="true" t="shared" si="0" ref="F34:F48">D34+E34</f>
        <v>876172.86</v>
      </c>
    </row>
    <row r="35" spans="1:6" ht="15" customHeight="1">
      <c r="A35" s="37" t="s">
        <v>36</v>
      </c>
      <c r="B35" s="38" t="s">
        <v>33</v>
      </c>
      <c r="C35" s="16">
        <v>607118.3</v>
      </c>
      <c r="D35" s="16">
        <v>649384.14</v>
      </c>
      <c r="E35" s="35"/>
      <c r="F35" s="36">
        <f>D35+E35</f>
        <v>649384.14</v>
      </c>
    </row>
    <row r="36" spans="1:6" ht="15" customHeight="1">
      <c r="A36" s="37" t="s">
        <v>37</v>
      </c>
      <c r="B36" s="38" t="s">
        <v>33</v>
      </c>
      <c r="C36" s="16">
        <v>0</v>
      </c>
      <c r="D36" s="16">
        <v>3582098.55</v>
      </c>
      <c r="E36" s="35"/>
      <c r="F36" s="36">
        <f>D36+E36</f>
        <v>3582098.55</v>
      </c>
    </row>
    <row r="37" spans="1:6" ht="15" customHeight="1">
      <c r="A37" s="37" t="s">
        <v>68</v>
      </c>
      <c r="B37" s="38" t="s">
        <v>33</v>
      </c>
      <c r="C37" s="16">
        <v>78089.98</v>
      </c>
      <c r="D37" s="16">
        <v>443667.74999999994</v>
      </c>
      <c r="E37" s="35"/>
      <c r="F37" s="36">
        <f>D37+E37</f>
        <v>443667.74999999994</v>
      </c>
    </row>
    <row r="38" spans="1:6" ht="15" customHeight="1">
      <c r="A38" s="37" t="s">
        <v>38</v>
      </c>
      <c r="B38" s="38" t="s">
        <v>33</v>
      </c>
      <c r="C38" s="16">
        <v>96358</v>
      </c>
      <c r="D38" s="16">
        <v>70358</v>
      </c>
      <c r="E38" s="35"/>
      <c r="F38" s="36">
        <f>D38+E38</f>
        <v>70358</v>
      </c>
    </row>
    <row r="39" spans="1:6" ht="15" customHeight="1">
      <c r="A39" s="37" t="s">
        <v>39</v>
      </c>
      <c r="B39" s="38" t="s">
        <v>40</v>
      </c>
      <c r="C39" s="16">
        <v>125197</v>
      </c>
      <c r="D39" s="16">
        <v>931800.9099999999</v>
      </c>
      <c r="E39" s="514">
        <f>'92006'!I9</f>
        <v>-951.9040000000001</v>
      </c>
      <c r="F39" s="36">
        <f>D39+E39</f>
        <v>930849.0059999999</v>
      </c>
    </row>
    <row r="40" spans="1:6" ht="15" customHeight="1">
      <c r="A40" s="37" t="s">
        <v>41</v>
      </c>
      <c r="B40" s="38" t="s">
        <v>40</v>
      </c>
      <c r="C40" s="16">
        <v>0</v>
      </c>
      <c r="D40" s="16">
        <v>0</v>
      </c>
      <c r="E40" s="514"/>
      <c r="F40" s="36">
        <f t="shared" si="0"/>
        <v>0</v>
      </c>
    </row>
    <row r="41" spans="1:6" ht="15" customHeight="1">
      <c r="A41" s="37" t="s">
        <v>42</v>
      </c>
      <c r="B41" s="38" t="s">
        <v>43</v>
      </c>
      <c r="C41" s="16">
        <v>157317</v>
      </c>
      <c r="D41" s="16">
        <v>1070891.54</v>
      </c>
      <c r="E41" s="514">
        <f>'92306'!J9</f>
        <v>1053.383</v>
      </c>
      <c r="F41" s="36">
        <f t="shared" si="0"/>
        <v>1071944.923</v>
      </c>
    </row>
    <row r="42" spans="1:8" ht="15" customHeight="1">
      <c r="A42" s="37" t="s">
        <v>44</v>
      </c>
      <c r="B42" s="38" t="s">
        <v>43</v>
      </c>
      <c r="C42" s="16">
        <v>22000</v>
      </c>
      <c r="D42" s="16">
        <v>22000</v>
      </c>
      <c r="E42" s="515"/>
      <c r="F42" s="36">
        <f t="shared" si="0"/>
        <v>22000</v>
      </c>
      <c r="H42" s="39"/>
    </row>
    <row r="43" spans="1:6" ht="15" customHeight="1">
      <c r="A43" s="37" t="s">
        <v>45</v>
      </c>
      <c r="B43" s="38" t="s">
        <v>33</v>
      </c>
      <c r="C43" s="16">
        <v>3725.5</v>
      </c>
      <c r="D43" s="16">
        <v>5434.02</v>
      </c>
      <c r="E43" s="515"/>
      <c r="F43" s="36">
        <f t="shared" si="0"/>
        <v>5434.02</v>
      </c>
    </row>
    <row r="44" spans="1:6" ht="15" customHeight="1">
      <c r="A44" s="37" t="s">
        <v>67</v>
      </c>
      <c r="B44" s="38" t="s">
        <v>43</v>
      </c>
      <c r="C44" s="16">
        <v>30000</v>
      </c>
      <c r="D44" s="16">
        <v>88007.47</v>
      </c>
      <c r="E44" s="515"/>
      <c r="F44" s="36">
        <f t="shared" si="0"/>
        <v>88007.47</v>
      </c>
    </row>
    <row r="45" spans="1:6" ht="15" customHeight="1">
      <c r="A45" s="37" t="s">
        <v>46</v>
      </c>
      <c r="B45" s="38" t="s">
        <v>43</v>
      </c>
      <c r="C45" s="16">
        <v>5000</v>
      </c>
      <c r="D45" s="16">
        <v>5317.28</v>
      </c>
      <c r="E45" s="515"/>
      <c r="F45" s="36">
        <f t="shared" si="0"/>
        <v>5317.28</v>
      </c>
    </row>
    <row r="46" spans="1:6" ht="15" customHeight="1">
      <c r="A46" s="37" t="s">
        <v>47</v>
      </c>
      <c r="B46" s="38" t="s">
        <v>43</v>
      </c>
      <c r="C46" s="16">
        <v>18000</v>
      </c>
      <c r="D46" s="16">
        <v>73602.25</v>
      </c>
      <c r="E46" s="515"/>
      <c r="F46" s="36">
        <f t="shared" si="0"/>
        <v>73602.25</v>
      </c>
    </row>
    <row r="47" spans="1:6" ht="15" customHeight="1">
      <c r="A47" s="37" t="s">
        <v>48</v>
      </c>
      <c r="B47" s="38" t="s">
        <v>43</v>
      </c>
      <c r="C47" s="16">
        <v>4000</v>
      </c>
      <c r="D47" s="16">
        <v>4039.987</v>
      </c>
      <c r="E47" s="515"/>
      <c r="F47" s="36">
        <f t="shared" si="0"/>
        <v>4039.987</v>
      </c>
    </row>
    <row r="48" spans="1:6" ht="15" customHeight="1" thickBot="1">
      <c r="A48" s="37" t="s">
        <v>49</v>
      </c>
      <c r="B48" s="38" t="s">
        <v>43</v>
      </c>
      <c r="C48" s="16">
        <v>0</v>
      </c>
      <c r="D48" s="16">
        <v>0</v>
      </c>
      <c r="E48" s="515"/>
      <c r="F48" s="36">
        <f t="shared" si="0"/>
        <v>0</v>
      </c>
    </row>
    <row r="49" spans="1:6" ht="15" customHeight="1" thickBot="1">
      <c r="A49" s="40" t="s">
        <v>50</v>
      </c>
      <c r="B49" s="41"/>
      <c r="C49" s="28">
        <f>SUM(C32:C48)</f>
        <v>2269055</v>
      </c>
      <c r="D49" s="28">
        <f>SUM(D32:D48)</f>
        <v>8091457.176999999</v>
      </c>
      <c r="E49" s="516">
        <f>SUM(E32:E48)</f>
        <v>101.47899999999993</v>
      </c>
      <c r="F49" s="29">
        <f>SUM(F32:F48)</f>
        <v>8091558.6559999995</v>
      </c>
    </row>
  </sheetData>
  <sheetProtection/>
  <mergeCells count="3">
    <mergeCell ref="A1:F1"/>
    <mergeCell ref="A3:F3"/>
    <mergeCell ref="A29:F29"/>
  </mergeCells>
  <printOptions horizontalCentered="1"/>
  <pageMargins left="0.1968503937007874" right="0.1968503937007874" top="0.64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8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4.7109375" style="45" customWidth="1"/>
    <col min="2" max="2" width="3.00390625" style="45" customWidth="1"/>
    <col min="3" max="3" width="9.421875" style="45" customWidth="1"/>
    <col min="4" max="4" width="4.28125" style="45" customWidth="1"/>
    <col min="5" max="5" width="5.28125" style="45" customWidth="1"/>
    <col min="6" max="6" width="7.8515625" style="45" bestFit="1" customWidth="1"/>
    <col min="7" max="7" width="43.7109375" style="45" customWidth="1"/>
    <col min="8" max="9" width="8.7109375" style="45" customWidth="1"/>
    <col min="10" max="10" width="9.28125" style="45" customWidth="1"/>
    <col min="11" max="11" width="9.00390625" style="45" customWidth="1"/>
    <col min="12" max="16384" width="8.8515625" style="45" customWidth="1"/>
  </cols>
  <sheetData>
    <row r="1" spans="1:11" ht="17.25">
      <c r="A1" s="528" t="s">
        <v>77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</row>
    <row r="2" spans="1:11" ht="17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2.75">
      <c r="A3" s="529" t="s">
        <v>78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</row>
    <row r="4" spans="1:11" ht="13.5" thickBot="1">
      <c r="A4" s="46"/>
      <c r="B4" s="46"/>
      <c r="C4" s="46"/>
      <c r="D4" s="46"/>
      <c r="E4" s="46"/>
      <c r="F4" s="46"/>
      <c r="G4" s="46"/>
      <c r="H4" s="46"/>
      <c r="I4" s="47"/>
      <c r="K4" s="47" t="s">
        <v>79</v>
      </c>
    </row>
    <row r="5" spans="1:11" ht="13.5" thickBot="1">
      <c r="A5" s="530" t="s">
        <v>80</v>
      </c>
      <c r="B5" s="532" t="s">
        <v>4</v>
      </c>
      <c r="C5" s="532" t="s">
        <v>6</v>
      </c>
      <c r="D5" s="532" t="s">
        <v>7</v>
      </c>
      <c r="E5" s="532" t="s">
        <v>8</v>
      </c>
      <c r="F5" s="532" t="s">
        <v>81</v>
      </c>
      <c r="G5" s="520" t="s">
        <v>82</v>
      </c>
      <c r="H5" s="522" t="s">
        <v>70</v>
      </c>
      <c r="I5" s="524" t="s">
        <v>71</v>
      </c>
      <c r="J5" s="526" t="s">
        <v>430</v>
      </c>
      <c r="K5" s="527"/>
    </row>
    <row r="6" spans="1:11" ht="13.5" thickBot="1">
      <c r="A6" s="531"/>
      <c r="B6" s="533"/>
      <c r="C6" s="533"/>
      <c r="D6" s="533"/>
      <c r="E6" s="533"/>
      <c r="F6" s="534"/>
      <c r="G6" s="521"/>
      <c r="H6" s="523"/>
      <c r="I6" s="525"/>
      <c r="J6" s="48" t="s">
        <v>26</v>
      </c>
      <c r="K6" s="49" t="s">
        <v>72</v>
      </c>
    </row>
    <row r="7" spans="1:256" ht="13.5" thickBot="1">
      <c r="A7" s="50" t="s">
        <v>3</v>
      </c>
      <c r="B7" s="51" t="s">
        <v>5</v>
      </c>
      <c r="C7" s="52" t="s">
        <v>3</v>
      </c>
      <c r="D7" s="53" t="s">
        <v>3</v>
      </c>
      <c r="E7" s="53" t="s">
        <v>3</v>
      </c>
      <c r="F7" s="54"/>
      <c r="G7" s="55" t="s">
        <v>83</v>
      </c>
      <c r="H7" s="56">
        <f>H8+H11+H24+H27+H59</f>
        <v>32730</v>
      </c>
      <c r="I7" s="57">
        <f>I8+I11+I24+I27+I59</f>
        <v>773186.01238</v>
      </c>
      <c r="J7" s="355">
        <f>J8+J11+J24+J27+J59</f>
        <v>101.479</v>
      </c>
      <c r="K7" s="57">
        <f>K8+K11+K24+K27+K59</f>
        <v>773287.49138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256" ht="13.5" thickBot="1">
      <c r="A8" s="59" t="s">
        <v>3</v>
      </c>
      <c r="B8" s="60" t="s">
        <v>5</v>
      </c>
      <c r="C8" s="61" t="s">
        <v>3</v>
      </c>
      <c r="D8" s="62" t="s">
        <v>3</v>
      </c>
      <c r="E8" s="62" t="s">
        <v>11</v>
      </c>
      <c r="F8" s="63"/>
      <c r="G8" s="64" t="s">
        <v>84</v>
      </c>
      <c r="H8" s="65">
        <f>H9+H10</f>
        <v>160</v>
      </c>
      <c r="I8" s="66">
        <f>I9+I10</f>
        <v>165.58306</v>
      </c>
      <c r="J8" s="356">
        <f>J9+J10</f>
        <v>0</v>
      </c>
      <c r="K8" s="68">
        <f>K9+K10</f>
        <v>165.58306</v>
      </c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</row>
    <row r="9" spans="1:256" ht="12.75">
      <c r="A9" s="69" t="s">
        <v>85</v>
      </c>
      <c r="B9" s="70" t="s">
        <v>27</v>
      </c>
      <c r="C9" s="71" t="s">
        <v>3</v>
      </c>
      <c r="D9" s="70" t="s">
        <v>3</v>
      </c>
      <c r="E9" s="72">
        <v>1354</v>
      </c>
      <c r="F9" s="73"/>
      <c r="G9" s="74" t="s">
        <v>86</v>
      </c>
      <c r="H9" s="75">
        <v>0</v>
      </c>
      <c r="I9" s="97">
        <f>5.22061+0.36245</f>
        <v>5.58306</v>
      </c>
      <c r="J9" s="357"/>
      <c r="K9" s="76">
        <f>I9+J9</f>
        <v>5.58306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  <c r="IV9" s="77"/>
    </row>
    <row r="10" spans="1:256" ht="13.5" thickBot="1">
      <c r="A10" s="78" t="s">
        <v>85</v>
      </c>
      <c r="B10" s="79" t="s">
        <v>27</v>
      </c>
      <c r="C10" s="80" t="s">
        <v>3</v>
      </c>
      <c r="D10" s="70" t="s">
        <v>3</v>
      </c>
      <c r="E10" s="72">
        <v>1361</v>
      </c>
      <c r="F10" s="81"/>
      <c r="G10" s="82" t="s">
        <v>87</v>
      </c>
      <c r="H10" s="83">
        <v>160</v>
      </c>
      <c r="I10" s="84">
        <v>160</v>
      </c>
      <c r="J10" s="358"/>
      <c r="K10" s="85">
        <f>I10+J10</f>
        <v>160</v>
      </c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</row>
    <row r="11" spans="1:256" ht="13.5" thickBot="1">
      <c r="A11" s="59" t="s">
        <v>3</v>
      </c>
      <c r="B11" s="60" t="s">
        <v>5</v>
      </c>
      <c r="C11" s="61" t="s">
        <v>3</v>
      </c>
      <c r="D11" s="62" t="s">
        <v>3</v>
      </c>
      <c r="E11" s="62" t="s">
        <v>13</v>
      </c>
      <c r="F11" s="63"/>
      <c r="G11" s="64" t="s">
        <v>88</v>
      </c>
      <c r="H11" s="86">
        <f>H12+H13+H14+H16+H18+H20+H22</f>
        <v>7800</v>
      </c>
      <c r="I11" s="66">
        <f>I12+I13+I14+I16+I18+I20+I22</f>
        <v>35960.64993</v>
      </c>
      <c r="J11" s="356">
        <f>J12+J13+J14+J16+J18+J20+J22</f>
        <v>101.479</v>
      </c>
      <c r="K11" s="68">
        <f>K12+K13+K14+K16+K18+K20+K22</f>
        <v>36062.128930000006</v>
      </c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</row>
    <row r="12" spans="1:256" ht="12.75">
      <c r="A12" s="88" t="s">
        <v>85</v>
      </c>
      <c r="B12" s="89" t="s">
        <v>27</v>
      </c>
      <c r="C12" s="90" t="s">
        <v>3</v>
      </c>
      <c r="D12" s="91">
        <v>2229</v>
      </c>
      <c r="E12" s="92">
        <v>2119</v>
      </c>
      <c r="F12" s="93"/>
      <c r="G12" s="94" t="s">
        <v>89</v>
      </c>
      <c r="H12" s="95">
        <v>3500</v>
      </c>
      <c r="I12" s="95">
        <v>3500</v>
      </c>
      <c r="J12" s="96"/>
      <c r="K12" s="97">
        <f>I12+J12</f>
        <v>3500</v>
      </c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  <c r="IV12" s="58"/>
    </row>
    <row r="13" spans="1:256" ht="13.5" thickBot="1">
      <c r="A13" s="78" t="s">
        <v>85</v>
      </c>
      <c r="B13" s="98" t="s">
        <v>27</v>
      </c>
      <c r="C13" s="99" t="s">
        <v>3</v>
      </c>
      <c r="D13" s="100">
        <v>2299</v>
      </c>
      <c r="E13" s="101">
        <v>2212</v>
      </c>
      <c r="F13" s="102"/>
      <c r="G13" s="103" t="s">
        <v>90</v>
      </c>
      <c r="H13" s="104">
        <v>4300</v>
      </c>
      <c r="I13" s="104">
        <v>4300</v>
      </c>
      <c r="J13" s="105"/>
      <c r="K13" s="85">
        <f>I13+J13</f>
        <v>4300</v>
      </c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</row>
    <row r="14" spans="1:256" ht="20.25">
      <c r="A14" s="106" t="s">
        <v>91</v>
      </c>
      <c r="B14" s="107" t="s">
        <v>5</v>
      </c>
      <c r="C14" s="108" t="s">
        <v>92</v>
      </c>
      <c r="D14" s="109" t="s">
        <v>3</v>
      </c>
      <c r="E14" s="110" t="s">
        <v>3</v>
      </c>
      <c r="F14" s="109" t="s">
        <v>3</v>
      </c>
      <c r="G14" s="111" t="s">
        <v>93</v>
      </c>
      <c r="H14" s="112">
        <f>SUM(H15:H15)</f>
        <v>0</v>
      </c>
      <c r="I14" s="112">
        <f>SUM(I15:I15)</f>
        <v>24108.953</v>
      </c>
      <c r="J14" s="112">
        <f>SUM(J15:J15)</f>
        <v>0</v>
      </c>
      <c r="K14" s="113">
        <f>SUM(K15:K15)</f>
        <v>24108.953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  <c r="IU14" s="77"/>
      <c r="IV14" s="77"/>
    </row>
    <row r="15" spans="1:256" ht="13.5" thickBot="1">
      <c r="A15" s="114"/>
      <c r="B15" s="115"/>
      <c r="C15" s="116"/>
      <c r="D15" s="117">
        <v>2212</v>
      </c>
      <c r="E15" s="101">
        <v>2229</v>
      </c>
      <c r="F15" s="118"/>
      <c r="G15" s="103" t="s">
        <v>94</v>
      </c>
      <c r="H15" s="104">
        <v>0</v>
      </c>
      <c r="I15" s="1">
        <f>1500+17608.953+5000</f>
        <v>24108.953</v>
      </c>
      <c r="J15" s="119"/>
      <c r="K15" s="120">
        <f>I15+J15</f>
        <v>24108.953</v>
      </c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  <c r="IT15" s="77"/>
      <c r="IU15" s="77"/>
      <c r="IV15" s="77"/>
    </row>
    <row r="16" spans="1:256" ht="12.75">
      <c r="A16" s="121" t="s">
        <v>95</v>
      </c>
      <c r="B16" s="122" t="s">
        <v>5</v>
      </c>
      <c r="C16" s="123" t="s">
        <v>96</v>
      </c>
      <c r="D16" s="124" t="s">
        <v>3</v>
      </c>
      <c r="E16" s="124" t="s">
        <v>3</v>
      </c>
      <c r="F16" s="122" t="s">
        <v>3</v>
      </c>
      <c r="G16" s="125" t="s">
        <v>97</v>
      </c>
      <c r="H16" s="126">
        <f>SUM(H17:H17)</f>
        <v>0</v>
      </c>
      <c r="I16" s="127">
        <f>SUM(I17:I17)</f>
        <v>277.73</v>
      </c>
      <c r="J16" s="127">
        <f>SUM(J17:J17)</f>
        <v>0</v>
      </c>
      <c r="K16" s="126">
        <f>SUM(K17:K17)</f>
        <v>277.73</v>
      </c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  <c r="IT16" s="77"/>
      <c r="IU16" s="77"/>
      <c r="IV16" s="77"/>
    </row>
    <row r="17" spans="1:256" ht="13.5" thickBot="1">
      <c r="A17" s="114"/>
      <c r="B17" s="115"/>
      <c r="C17" s="116"/>
      <c r="D17" s="128">
        <v>6402</v>
      </c>
      <c r="E17" s="101">
        <v>2229</v>
      </c>
      <c r="F17" s="118"/>
      <c r="G17" s="103" t="s">
        <v>94</v>
      </c>
      <c r="H17" s="119">
        <v>0</v>
      </c>
      <c r="I17" s="129">
        <v>277.73</v>
      </c>
      <c r="J17" s="129"/>
      <c r="K17" s="43">
        <f>I17+J17</f>
        <v>277.73</v>
      </c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  <c r="IT17" s="77"/>
      <c r="IU17" s="77"/>
      <c r="IV17" s="77"/>
    </row>
    <row r="18" spans="1:256" ht="20.25">
      <c r="A18" s="121" t="s">
        <v>95</v>
      </c>
      <c r="B18" s="122" t="s">
        <v>5</v>
      </c>
      <c r="C18" s="123" t="s">
        <v>174</v>
      </c>
      <c r="D18" s="124" t="s">
        <v>3</v>
      </c>
      <c r="E18" s="124" t="s">
        <v>3</v>
      </c>
      <c r="F18" s="122" t="s">
        <v>3</v>
      </c>
      <c r="G18" s="214" t="s">
        <v>175</v>
      </c>
      <c r="H18" s="126">
        <f>SUM(H19:H19)</f>
        <v>0</v>
      </c>
      <c r="I18" s="127">
        <f>SUM(I19:I19)</f>
        <v>471.094</v>
      </c>
      <c r="J18" s="353">
        <f>SUM(J19:J19)</f>
        <v>101.479</v>
      </c>
      <c r="K18" s="126">
        <f>SUM(K19:K19)</f>
        <v>572.573</v>
      </c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  <c r="IT18" s="77"/>
      <c r="IU18" s="77"/>
      <c r="IV18" s="77"/>
    </row>
    <row r="19" spans="1:256" ht="13.5" thickBot="1">
      <c r="A19" s="114"/>
      <c r="B19" s="115"/>
      <c r="C19" s="116"/>
      <c r="D19" s="128">
        <v>6402</v>
      </c>
      <c r="E19" s="101">
        <v>2229</v>
      </c>
      <c r="F19" s="118"/>
      <c r="G19" s="103" t="s">
        <v>94</v>
      </c>
      <c r="H19" s="119">
        <v>0</v>
      </c>
      <c r="I19" s="1">
        <f>171.094+300</f>
        <v>471.094</v>
      </c>
      <c r="J19" s="354">
        <v>101.479</v>
      </c>
      <c r="K19" s="43">
        <f>I19+J19</f>
        <v>572.573</v>
      </c>
      <c r="L19" s="51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  <c r="IT19" s="77"/>
      <c r="IU19" s="77"/>
      <c r="IV19" s="77"/>
    </row>
    <row r="20" spans="1:256" ht="12.75">
      <c r="A20" s="130" t="s">
        <v>85</v>
      </c>
      <c r="B20" s="131" t="s">
        <v>27</v>
      </c>
      <c r="C20" s="132" t="s">
        <v>3</v>
      </c>
      <c r="D20" s="133" t="s">
        <v>3</v>
      </c>
      <c r="E20" s="134">
        <v>2324</v>
      </c>
      <c r="F20" s="107" t="s">
        <v>3</v>
      </c>
      <c r="G20" s="135" t="s">
        <v>98</v>
      </c>
      <c r="H20" s="136">
        <f>SUM(H21:H21)</f>
        <v>0</v>
      </c>
      <c r="I20" s="112">
        <f>SUM(I21:I21)</f>
        <v>66.065</v>
      </c>
      <c r="J20" s="112">
        <f>SUM(J21:J21)</f>
        <v>0</v>
      </c>
      <c r="K20" s="113">
        <f>SUM(K21:K21)</f>
        <v>66.065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  <c r="IT20" s="77"/>
      <c r="IU20" s="77"/>
      <c r="IV20" s="137"/>
    </row>
    <row r="21" spans="1:256" ht="13.5" thickBot="1">
      <c r="A21" s="69"/>
      <c r="B21" s="138"/>
      <c r="C21" s="139"/>
      <c r="D21" s="140">
        <v>2299</v>
      </c>
      <c r="E21" s="141"/>
      <c r="F21" s="142"/>
      <c r="G21" s="143" t="s">
        <v>99</v>
      </c>
      <c r="H21" s="144">
        <v>0</v>
      </c>
      <c r="I21" s="1">
        <f>55.865+10.2</f>
        <v>66.065</v>
      </c>
      <c r="J21" s="119"/>
      <c r="K21" s="43">
        <f>I21+J21</f>
        <v>66.065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  <c r="IT21" s="77"/>
      <c r="IU21" s="77"/>
      <c r="IV21" s="137"/>
    </row>
    <row r="22" spans="1:256" ht="12.75">
      <c r="A22" s="106" t="s">
        <v>100</v>
      </c>
      <c r="B22" s="107" t="s">
        <v>5</v>
      </c>
      <c r="C22" s="145">
        <v>650670000</v>
      </c>
      <c r="D22" s="109" t="s">
        <v>3</v>
      </c>
      <c r="E22" s="110" t="s">
        <v>3</v>
      </c>
      <c r="F22" s="109" t="s">
        <v>3</v>
      </c>
      <c r="G22" s="146" t="s">
        <v>101</v>
      </c>
      <c r="H22" s="112">
        <f>SUM(H23:H23)</f>
        <v>0</v>
      </c>
      <c r="I22" s="112">
        <f>SUM(I23:I23)</f>
        <v>3236.80793</v>
      </c>
      <c r="J22" s="112">
        <f>SUM(J23:J23)</f>
        <v>0</v>
      </c>
      <c r="K22" s="113">
        <f>SUM(K23:K23)</f>
        <v>3236.80793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  <c r="IT22" s="77"/>
      <c r="IU22" s="77"/>
      <c r="IV22" s="77"/>
    </row>
    <row r="23" spans="1:256" ht="13.5" thickBot="1">
      <c r="A23" s="114"/>
      <c r="B23" s="115"/>
      <c r="C23" s="116"/>
      <c r="D23" s="128">
        <v>6409</v>
      </c>
      <c r="E23" s="101">
        <v>2324</v>
      </c>
      <c r="F23" s="118"/>
      <c r="G23" s="103" t="s">
        <v>98</v>
      </c>
      <c r="H23" s="119">
        <v>0</v>
      </c>
      <c r="I23" s="1">
        <v>3236.80793</v>
      </c>
      <c r="J23" s="119"/>
      <c r="K23" s="43">
        <f>I23+J23</f>
        <v>3236.80793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  <c r="IT23" s="77"/>
      <c r="IU23" s="77"/>
      <c r="IV23" s="77"/>
    </row>
    <row r="24" spans="1:256" ht="13.5" thickBot="1">
      <c r="A24" s="59" t="s">
        <v>3</v>
      </c>
      <c r="B24" s="60" t="s">
        <v>5</v>
      </c>
      <c r="C24" s="61" t="s">
        <v>3</v>
      </c>
      <c r="D24" s="62" t="s">
        <v>3</v>
      </c>
      <c r="E24" s="62" t="s">
        <v>15</v>
      </c>
      <c r="F24" s="63"/>
      <c r="G24" s="64" t="s">
        <v>102</v>
      </c>
      <c r="H24" s="65">
        <f>H25+H26</f>
        <v>0</v>
      </c>
      <c r="I24" s="66">
        <f>I25+I26</f>
        <v>0</v>
      </c>
      <c r="J24" s="67">
        <f>J25+J26</f>
        <v>0</v>
      </c>
      <c r="K24" s="68">
        <f>K25+K26</f>
        <v>0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pans="1:256" ht="12.75">
      <c r="A25" s="88" t="s">
        <v>85</v>
      </c>
      <c r="B25" s="147" t="s">
        <v>27</v>
      </c>
      <c r="C25" s="90" t="s">
        <v>3</v>
      </c>
      <c r="D25" s="148">
        <v>6172</v>
      </c>
      <c r="E25" s="148">
        <v>3111</v>
      </c>
      <c r="F25" s="149"/>
      <c r="G25" s="150" t="s">
        <v>103</v>
      </c>
      <c r="H25" s="151">
        <v>0</v>
      </c>
      <c r="I25" s="152">
        <v>0</v>
      </c>
      <c r="J25" s="153"/>
      <c r="K25" s="2">
        <f>I25+J25</f>
        <v>0</v>
      </c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pans="1:256" ht="13.5" thickBot="1">
      <c r="A26" s="78" t="s">
        <v>85</v>
      </c>
      <c r="B26" s="98" t="s">
        <v>27</v>
      </c>
      <c r="C26" s="99" t="s">
        <v>3</v>
      </c>
      <c r="D26" s="154">
        <v>6172</v>
      </c>
      <c r="E26" s="154">
        <v>3112</v>
      </c>
      <c r="F26" s="155"/>
      <c r="G26" s="156" t="s">
        <v>104</v>
      </c>
      <c r="H26" s="157">
        <v>0</v>
      </c>
      <c r="I26" s="158">
        <v>0</v>
      </c>
      <c r="J26" s="159"/>
      <c r="K26" s="85">
        <f>I26+J26</f>
        <v>0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pans="1:256" ht="13.5" thickBot="1">
      <c r="A27" s="59" t="s">
        <v>3</v>
      </c>
      <c r="B27" s="60" t="s">
        <v>5</v>
      </c>
      <c r="C27" s="61" t="s">
        <v>3</v>
      </c>
      <c r="D27" s="62" t="s">
        <v>3</v>
      </c>
      <c r="E27" s="62" t="s">
        <v>105</v>
      </c>
      <c r="F27" s="63"/>
      <c r="G27" s="64" t="s">
        <v>106</v>
      </c>
      <c r="H27" s="86">
        <f>H28+H30+H32+H34+H36+H38+H40+H42+H44+H46+H48+H50+H52+H54+H56+H58</f>
        <v>24770</v>
      </c>
      <c r="I27" s="66">
        <f>I28+I30+I32+I34+I36+I38+I40+I42+I44+I46+I48+I50+I52+I54+I56+I58</f>
        <v>236059.77938999995</v>
      </c>
      <c r="J27" s="67">
        <f>J28+J30+J32+J34+J36+J38+J40+J42+J44+J46+J48+J50+J52+J54+J56+J58</f>
        <v>0</v>
      </c>
      <c r="K27" s="68">
        <f>K28+K30+K32+K34+K36+K38+K40+K42+K44+K46+K48+K50+K52+K54+K56+K58</f>
        <v>236059.77938999995</v>
      </c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pans="1:256" ht="12.75">
      <c r="A28" s="160" t="s">
        <v>85</v>
      </c>
      <c r="B28" s="161" t="s">
        <v>5</v>
      </c>
      <c r="C28" s="162" t="s">
        <v>3</v>
      </c>
      <c r="D28" s="107" t="s">
        <v>3</v>
      </c>
      <c r="E28" s="107" t="s">
        <v>3</v>
      </c>
      <c r="F28" s="107" t="s">
        <v>3</v>
      </c>
      <c r="G28" s="163" t="s">
        <v>107</v>
      </c>
      <c r="H28" s="164">
        <f>SUM(H29:H29)</f>
        <v>0</v>
      </c>
      <c r="I28" s="165">
        <f>SUM(I29:I29)</f>
        <v>11468</v>
      </c>
      <c r="J28" s="165">
        <f>SUM(J29:J29)</f>
        <v>0</v>
      </c>
      <c r="K28" s="166">
        <f>SUM(K29:K29)</f>
        <v>11468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  <c r="IU28" s="77"/>
      <c r="IV28" s="77"/>
    </row>
    <row r="29" spans="1:256" ht="13.5" thickBot="1">
      <c r="A29" s="167"/>
      <c r="B29" s="168"/>
      <c r="C29" s="169"/>
      <c r="D29" s="170"/>
      <c r="E29" s="170">
        <v>4113</v>
      </c>
      <c r="F29" s="171" t="s">
        <v>108</v>
      </c>
      <c r="G29" s="172" t="s">
        <v>109</v>
      </c>
      <c r="H29" s="173">
        <v>0</v>
      </c>
      <c r="I29" s="174">
        <v>11468</v>
      </c>
      <c r="J29" s="174"/>
      <c r="K29" s="43">
        <f>I29+J29</f>
        <v>11468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  <c r="IR29" s="77"/>
      <c r="IS29" s="77"/>
      <c r="IT29" s="77"/>
      <c r="IU29" s="77"/>
      <c r="IV29" s="77"/>
    </row>
    <row r="30" spans="1:256" ht="12.75">
      <c r="A30" s="160" t="s">
        <v>85</v>
      </c>
      <c r="B30" s="161" t="s">
        <v>5</v>
      </c>
      <c r="C30" s="162" t="s">
        <v>3</v>
      </c>
      <c r="D30" s="107" t="s">
        <v>3</v>
      </c>
      <c r="E30" s="107" t="s">
        <v>3</v>
      </c>
      <c r="F30" s="107" t="s">
        <v>3</v>
      </c>
      <c r="G30" s="163" t="s">
        <v>110</v>
      </c>
      <c r="H30" s="164">
        <f>SUM(H31:H31)</f>
        <v>0</v>
      </c>
      <c r="I30" s="165">
        <f>SUM(I31:I31)</f>
        <v>187440</v>
      </c>
      <c r="J30" s="165">
        <f>SUM(J31:J31)</f>
        <v>0</v>
      </c>
      <c r="K30" s="166">
        <f>SUM(K31:K31)</f>
        <v>187440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  <c r="IR30" s="77"/>
      <c r="IS30" s="77"/>
      <c r="IT30" s="77"/>
      <c r="IU30" s="77"/>
      <c r="IV30" s="77"/>
    </row>
    <row r="31" spans="1:256" ht="13.5" thickBot="1">
      <c r="A31" s="167"/>
      <c r="B31" s="168"/>
      <c r="C31" s="169"/>
      <c r="D31" s="170"/>
      <c r="E31" s="170">
        <v>4113</v>
      </c>
      <c r="F31" s="171" t="s">
        <v>108</v>
      </c>
      <c r="G31" s="172" t="s">
        <v>109</v>
      </c>
      <c r="H31" s="173">
        <v>0</v>
      </c>
      <c r="I31" s="174">
        <v>187440</v>
      </c>
      <c r="J31" s="174"/>
      <c r="K31" s="43">
        <f>I31+J31</f>
        <v>187440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  <c r="IR31" s="77"/>
      <c r="IS31" s="77"/>
      <c r="IT31" s="77"/>
      <c r="IU31" s="77"/>
      <c r="IV31" s="77"/>
    </row>
    <row r="32" spans="1:256" ht="12.75">
      <c r="A32" s="121" t="s">
        <v>95</v>
      </c>
      <c r="B32" s="175" t="s">
        <v>27</v>
      </c>
      <c r="C32" s="176" t="s">
        <v>111</v>
      </c>
      <c r="D32" s="124" t="s">
        <v>3</v>
      </c>
      <c r="E32" s="124" t="s">
        <v>3</v>
      </c>
      <c r="F32" s="122" t="s">
        <v>3</v>
      </c>
      <c r="G32" s="177" t="s">
        <v>112</v>
      </c>
      <c r="H32" s="178">
        <f>SUM(H33:H33)</f>
        <v>0</v>
      </c>
      <c r="I32" s="127">
        <f>SUM(I33:I33)</f>
        <v>1588.97168</v>
      </c>
      <c r="J32" s="127">
        <f>SUM(J33:J33)</f>
        <v>0</v>
      </c>
      <c r="K32" s="126">
        <f>SUM(K33:K33)</f>
        <v>1588.97168</v>
      </c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  <c r="IR32" s="137"/>
      <c r="IS32" s="137"/>
      <c r="IT32" s="137"/>
      <c r="IU32" s="137"/>
      <c r="IV32" s="137"/>
    </row>
    <row r="33" spans="1:256" ht="13.5" thickBot="1">
      <c r="A33" s="179"/>
      <c r="B33" s="180"/>
      <c r="C33" s="181"/>
      <c r="D33" s="182"/>
      <c r="E33" s="182">
        <v>4118</v>
      </c>
      <c r="F33" s="183" t="s">
        <v>113</v>
      </c>
      <c r="G33" s="184" t="s">
        <v>114</v>
      </c>
      <c r="H33" s="185">
        <v>0</v>
      </c>
      <c r="I33" s="1">
        <v>1588.97168</v>
      </c>
      <c r="J33" s="186"/>
      <c r="K33" s="42">
        <f>I33+J33</f>
        <v>1588.97168</v>
      </c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  <c r="IR33" s="137"/>
      <c r="IS33" s="137"/>
      <c r="IT33" s="137"/>
      <c r="IU33" s="137"/>
      <c r="IV33" s="137"/>
    </row>
    <row r="34" spans="1:256" ht="12.75">
      <c r="A34" s="121" t="s">
        <v>95</v>
      </c>
      <c r="B34" s="175" t="s">
        <v>27</v>
      </c>
      <c r="C34" s="176" t="s">
        <v>115</v>
      </c>
      <c r="D34" s="124" t="s">
        <v>3</v>
      </c>
      <c r="E34" s="124" t="s">
        <v>3</v>
      </c>
      <c r="F34" s="122" t="s">
        <v>3</v>
      </c>
      <c r="G34" s="177" t="s">
        <v>116</v>
      </c>
      <c r="H34" s="178">
        <f>SUM(H35:H35)</f>
        <v>0</v>
      </c>
      <c r="I34" s="127">
        <f>SUM(I35:I35)</f>
        <v>699.2918</v>
      </c>
      <c r="J34" s="127">
        <f>SUM(J35:J35)</f>
        <v>0</v>
      </c>
      <c r="K34" s="126">
        <f>SUM(K35:K35)</f>
        <v>699.2918</v>
      </c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  <c r="IR34" s="137"/>
      <c r="IS34" s="137"/>
      <c r="IT34" s="137"/>
      <c r="IU34" s="137"/>
      <c r="IV34" s="137"/>
    </row>
    <row r="35" spans="1:256" ht="13.5" thickBot="1">
      <c r="A35" s="179"/>
      <c r="B35" s="180"/>
      <c r="C35" s="181"/>
      <c r="D35" s="182"/>
      <c r="E35" s="182">
        <v>4118</v>
      </c>
      <c r="F35" s="183" t="s">
        <v>113</v>
      </c>
      <c r="G35" s="184" t="s">
        <v>114</v>
      </c>
      <c r="H35" s="185">
        <v>0</v>
      </c>
      <c r="I35" s="1">
        <v>699.2918</v>
      </c>
      <c r="J35" s="186"/>
      <c r="K35" s="42">
        <f>I35+J35</f>
        <v>699.2918</v>
      </c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  <c r="IN35" s="137"/>
      <c r="IO35" s="137"/>
      <c r="IP35" s="137"/>
      <c r="IQ35" s="137"/>
      <c r="IR35" s="137"/>
      <c r="IS35" s="137"/>
      <c r="IT35" s="137"/>
      <c r="IU35" s="137"/>
      <c r="IV35" s="137"/>
    </row>
    <row r="36" spans="1:256" ht="12.75">
      <c r="A36" s="121" t="s">
        <v>95</v>
      </c>
      <c r="B36" s="175" t="s">
        <v>27</v>
      </c>
      <c r="C36" s="176" t="s">
        <v>117</v>
      </c>
      <c r="D36" s="124" t="s">
        <v>3</v>
      </c>
      <c r="E36" s="124" t="s">
        <v>3</v>
      </c>
      <c r="F36" s="122" t="s">
        <v>3</v>
      </c>
      <c r="G36" s="177" t="s">
        <v>118</v>
      </c>
      <c r="H36" s="178">
        <f>SUM(H37:H37)</f>
        <v>0</v>
      </c>
      <c r="I36" s="127">
        <f>SUM(I37:I37)</f>
        <v>2070.224</v>
      </c>
      <c r="J36" s="127">
        <f>SUM(J37:J37)</f>
        <v>0</v>
      </c>
      <c r="K36" s="126">
        <f>SUM(K37:K37)</f>
        <v>2070.224</v>
      </c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  <c r="IL36" s="137"/>
      <c r="IM36" s="137"/>
      <c r="IN36" s="137"/>
      <c r="IO36" s="137"/>
      <c r="IP36" s="137"/>
      <c r="IQ36" s="137"/>
      <c r="IR36" s="137"/>
      <c r="IS36" s="137"/>
      <c r="IT36" s="137"/>
      <c r="IU36" s="137"/>
      <c r="IV36" s="137"/>
    </row>
    <row r="37" spans="1:256" ht="13.5" thickBot="1">
      <c r="A37" s="179"/>
      <c r="B37" s="187"/>
      <c r="C37" s="188"/>
      <c r="D37" s="189"/>
      <c r="E37" s="189">
        <v>4118</v>
      </c>
      <c r="F37" s="183" t="s">
        <v>113</v>
      </c>
      <c r="G37" s="184" t="s">
        <v>114</v>
      </c>
      <c r="H37" s="190">
        <v>0</v>
      </c>
      <c r="I37" s="1">
        <v>2070.224</v>
      </c>
      <c r="J37" s="186"/>
      <c r="K37" s="43">
        <f>I37+J37</f>
        <v>2070.224</v>
      </c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  <c r="IS37" s="137"/>
      <c r="IT37" s="137"/>
      <c r="IU37" s="137"/>
      <c r="IV37" s="137"/>
    </row>
    <row r="38" spans="1:256" ht="12.75">
      <c r="A38" s="121" t="s">
        <v>95</v>
      </c>
      <c r="B38" s="175" t="s">
        <v>27</v>
      </c>
      <c r="C38" s="176" t="s">
        <v>119</v>
      </c>
      <c r="D38" s="124" t="s">
        <v>3</v>
      </c>
      <c r="E38" s="124" t="s">
        <v>3</v>
      </c>
      <c r="F38" s="122" t="s">
        <v>3</v>
      </c>
      <c r="G38" s="177" t="s">
        <v>120</v>
      </c>
      <c r="H38" s="178">
        <f>SUM(H39:H39)</f>
        <v>0</v>
      </c>
      <c r="I38" s="127">
        <f>SUM(I39:I39)</f>
        <v>574.533</v>
      </c>
      <c r="J38" s="127">
        <f>SUM(J39:J39)</f>
        <v>0</v>
      </c>
      <c r="K38" s="126">
        <f>SUM(K39:K39)</f>
        <v>574.533</v>
      </c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  <c r="GS38" s="137"/>
      <c r="GT38" s="137"/>
      <c r="GU38" s="137"/>
      <c r="GV38" s="137"/>
      <c r="GW38" s="137"/>
      <c r="GX38" s="137"/>
      <c r="GY38" s="137"/>
      <c r="GZ38" s="137"/>
      <c r="HA38" s="137"/>
      <c r="HB38" s="137"/>
      <c r="HC38" s="137"/>
      <c r="HD38" s="137"/>
      <c r="HE38" s="137"/>
      <c r="HF38" s="137"/>
      <c r="HG38" s="137"/>
      <c r="HH38" s="137"/>
      <c r="HI38" s="137"/>
      <c r="HJ38" s="137"/>
      <c r="HK38" s="137"/>
      <c r="HL38" s="137"/>
      <c r="HM38" s="137"/>
      <c r="HN38" s="137"/>
      <c r="HO38" s="137"/>
      <c r="HP38" s="137"/>
      <c r="HQ38" s="137"/>
      <c r="HR38" s="137"/>
      <c r="HS38" s="137"/>
      <c r="HT38" s="137"/>
      <c r="HU38" s="137"/>
      <c r="HV38" s="137"/>
      <c r="HW38" s="137"/>
      <c r="HX38" s="137"/>
      <c r="HY38" s="137"/>
      <c r="HZ38" s="137"/>
      <c r="IA38" s="137"/>
      <c r="IB38" s="137"/>
      <c r="IC38" s="137"/>
      <c r="ID38" s="137"/>
      <c r="IE38" s="137"/>
      <c r="IF38" s="137"/>
      <c r="IG38" s="137"/>
      <c r="IH38" s="137"/>
      <c r="II38" s="137"/>
      <c r="IJ38" s="137"/>
      <c r="IK38" s="137"/>
      <c r="IL38" s="137"/>
      <c r="IM38" s="137"/>
      <c r="IN38" s="137"/>
      <c r="IO38" s="137"/>
      <c r="IP38" s="137"/>
      <c r="IQ38" s="137"/>
      <c r="IR38" s="137"/>
      <c r="IS38" s="137"/>
      <c r="IT38" s="137"/>
      <c r="IU38" s="137"/>
      <c r="IV38" s="137"/>
    </row>
    <row r="39" spans="1:256" ht="13.5" thickBot="1">
      <c r="A39" s="179"/>
      <c r="B39" s="180"/>
      <c r="C39" s="181"/>
      <c r="D39" s="182"/>
      <c r="E39" s="182">
        <v>4118</v>
      </c>
      <c r="F39" s="183" t="s">
        <v>113</v>
      </c>
      <c r="G39" s="184" t="s">
        <v>114</v>
      </c>
      <c r="H39" s="185">
        <v>0</v>
      </c>
      <c r="I39" s="1">
        <v>574.533</v>
      </c>
      <c r="J39" s="186"/>
      <c r="K39" s="42">
        <f>I39+J39</f>
        <v>574.533</v>
      </c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137"/>
      <c r="GF39" s="137"/>
      <c r="GG39" s="137"/>
      <c r="GH39" s="137"/>
      <c r="GI39" s="137"/>
      <c r="GJ39" s="137"/>
      <c r="GK39" s="137"/>
      <c r="GL39" s="137"/>
      <c r="GM39" s="137"/>
      <c r="GN39" s="137"/>
      <c r="GO39" s="137"/>
      <c r="GP39" s="137"/>
      <c r="GQ39" s="137"/>
      <c r="GR39" s="137"/>
      <c r="GS39" s="137"/>
      <c r="GT39" s="137"/>
      <c r="GU39" s="137"/>
      <c r="GV39" s="137"/>
      <c r="GW39" s="137"/>
      <c r="GX39" s="137"/>
      <c r="GY39" s="137"/>
      <c r="GZ39" s="137"/>
      <c r="HA39" s="137"/>
      <c r="HB39" s="137"/>
      <c r="HC39" s="137"/>
      <c r="HD39" s="137"/>
      <c r="HE39" s="137"/>
      <c r="HF39" s="137"/>
      <c r="HG39" s="137"/>
      <c r="HH39" s="137"/>
      <c r="HI39" s="137"/>
      <c r="HJ39" s="137"/>
      <c r="HK39" s="137"/>
      <c r="HL39" s="137"/>
      <c r="HM39" s="137"/>
      <c r="HN39" s="137"/>
      <c r="HO39" s="137"/>
      <c r="HP39" s="137"/>
      <c r="HQ39" s="137"/>
      <c r="HR39" s="137"/>
      <c r="HS39" s="137"/>
      <c r="HT39" s="137"/>
      <c r="HU39" s="137"/>
      <c r="HV39" s="137"/>
      <c r="HW39" s="137"/>
      <c r="HX39" s="137"/>
      <c r="HY39" s="137"/>
      <c r="HZ39" s="137"/>
      <c r="IA39" s="137"/>
      <c r="IB39" s="137"/>
      <c r="IC39" s="137"/>
      <c r="ID39" s="137"/>
      <c r="IE39" s="137"/>
      <c r="IF39" s="137"/>
      <c r="IG39" s="137"/>
      <c r="IH39" s="137"/>
      <c r="II39" s="137"/>
      <c r="IJ39" s="137"/>
      <c r="IK39" s="137"/>
      <c r="IL39" s="137"/>
      <c r="IM39" s="137"/>
      <c r="IN39" s="137"/>
      <c r="IO39" s="137"/>
      <c r="IP39" s="137"/>
      <c r="IQ39" s="137"/>
      <c r="IR39" s="137"/>
      <c r="IS39" s="137"/>
      <c r="IT39" s="137"/>
      <c r="IU39" s="137"/>
      <c r="IV39" s="137"/>
    </row>
    <row r="40" spans="1:256" ht="12.75">
      <c r="A40" s="121" t="s">
        <v>95</v>
      </c>
      <c r="B40" s="175" t="s">
        <v>27</v>
      </c>
      <c r="C40" s="176" t="s">
        <v>121</v>
      </c>
      <c r="D40" s="124" t="s">
        <v>3</v>
      </c>
      <c r="E40" s="124" t="s">
        <v>3</v>
      </c>
      <c r="F40" s="122" t="s">
        <v>3</v>
      </c>
      <c r="G40" s="177" t="s">
        <v>122</v>
      </c>
      <c r="H40" s="178">
        <f>SUM(H41:H41)</f>
        <v>0</v>
      </c>
      <c r="I40" s="127">
        <f>SUM(I41:I41)</f>
        <v>708.61052</v>
      </c>
      <c r="J40" s="127">
        <f>SUM(J41:J41)</f>
        <v>0</v>
      </c>
      <c r="K40" s="126">
        <f>SUM(K41:K41)</f>
        <v>708.61052</v>
      </c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7"/>
      <c r="GD40" s="137"/>
      <c r="GE40" s="137"/>
      <c r="GF40" s="137"/>
      <c r="GG40" s="137"/>
      <c r="GH40" s="137"/>
      <c r="GI40" s="137"/>
      <c r="GJ40" s="137"/>
      <c r="GK40" s="137"/>
      <c r="GL40" s="137"/>
      <c r="GM40" s="137"/>
      <c r="GN40" s="137"/>
      <c r="GO40" s="137"/>
      <c r="GP40" s="137"/>
      <c r="GQ40" s="137"/>
      <c r="GR40" s="137"/>
      <c r="GS40" s="137"/>
      <c r="GT40" s="137"/>
      <c r="GU40" s="137"/>
      <c r="GV40" s="137"/>
      <c r="GW40" s="137"/>
      <c r="GX40" s="137"/>
      <c r="GY40" s="137"/>
      <c r="GZ40" s="137"/>
      <c r="HA40" s="137"/>
      <c r="HB40" s="137"/>
      <c r="HC40" s="137"/>
      <c r="HD40" s="137"/>
      <c r="HE40" s="137"/>
      <c r="HF40" s="137"/>
      <c r="HG40" s="137"/>
      <c r="HH40" s="137"/>
      <c r="HI40" s="137"/>
      <c r="HJ40" s="137"/>
      <c r="HK40" s="137"/>
      <c r="HL40" s="137"/>
      <c r="HM40" s="137"/>
      <c r="HN40" s="137"/>
      <c r="HO40" s="137"/>
      <c r="HP40" s="137"/>
      <c r="HQ40" s="137"/>
      <c r="HR40" s="137"/>
      <c r="HS40" s="137"/>
      <c r="HT40" s="137"/>
      <c r="HU40" s="137"/>
      <c r="HV40" s="137"/>
      <c r="HW40" s="137"/>
      <c r="HX40" s="137"/>
      <c r="HY40" s="137"/>
      <c r="HZ40" s="137"/>
      <c r="IA40" s="137"/>
      <c r="IB40" s="137"/>
      <c r="IC40" s="137"/>
      <c r="ID40" s="137"/>
      <c r="IE40" s="137"/>
      <c r="IF40" s="137"/>
      <c r="IG40" s="137"/>
      <c r="IH40" s="137"/>
      <c r="II40" s="137"/>
      <c r="IJ40" s="137"/>
      <c r="IK40" s="137"/>
      <c r="IL40" s="137"/>
      <c r="IM40" s="137"/>
      <c r="IN40" s="137"/>
      <c r="IO40" s="137"/>
      <c r="IP40" s="137"/>
      <c r="IQ40" s="137"/>
      <c r="IR40" s="137"/>
      <c r="IS40" s="137"/>
      <c r="IT40" s="137"/>
      <c r="IU40" s="137"/>
      <c r="IV40" s="137"/>
    </row>
    <row r="41" spans="1:256" ht="13.5" thickBot="1">
      <c r="A41" s="179"/>
      <c r="B41" s="180"/>
      <c r="C41" s="181"/>
      <c r="D41" s="182"/>
      <c r="E41" s="182">
        <v>4118</v>
      </c>
      <c r="F41" s="183" t="s">
        <v>113</v>
      </c>
      <c r="G41" s="184" t="s">
        <v>114</v>
      </c>
      <c r="H41" s="185">
        <v>0</v>
      </c>
      <c r="I41" s="1">
        <v>708.61052</v>
      </c>
      <c r="J41" s="186"/>
      <c r="K41" s="42">
        <f>I41+J41</f>
        <v>708.61052</v>
      </c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  <c r="GE41" s="137"/>
      <c r="GF41" s="137"/>
      <c r="GG41" s="137"/>
      <c r="GH41" s="137"/>
      <c r="GI41" s="137"/>
      <c r="GJ41" s="137"/>
      <c r="GK41" s="137"/>
      <c r="GL41" s="137"/>
      <c r="GM41" s="137"/>
      <c r="GN41" s="137"/>
      <c r="GO41" s="137"/>
      <c r="GP41" s="137"/>
      <c r="GQ41" s="137"/>
      <c r="GR41" s="137"/>
      <c r="GS41" s="137"/>
      <c r="GT41" s="137"/>
      <c r="GU41" s="137"/>
      <c r="GV41" s="137"/>
      <c r="GW41" s="137"/>
      <c r="GX41" s="137"/>
      <c r="GY41" s="137"/>
      <c r="GZ41" s="137"/>
      <c r="HA41" s="137"/>
      <c r="HB41" s="137"/>
      <c r="HC41" s="137"/>
      <c r="HD41" s="137"/>
      <c r="HE41" s="137"/>
      <c r="HF41" s="137"/>
      <c r="HG41" s="137"/>
      <c r="HH41" s="137"/>
      <c r="HI41" s="137"/>
      <c r="HJ41" s="137"/>
      <c r="HK41" s="137"/>
      <c r="HL41" s="137"/>
      <c r="HM41" s="137"/>
      <c r="HN41" s="137"/>
      <c r="HO41" s="137"/>
      <c r="HP41" s="137"/>
      <c r="HQ41" s="137"/>
      <c r="HR41" s="137"/>
      <c r="HS41" s="137"/>
      <c r="HT41" s="137"/>
      <c r="HU41" s="137"/>
      <c r="HV41" s="137"/>
      <c r="HW41" s="137"/>
      <c r="HX41" s="137"/>
      <c r="HY41" s="137"/>
      <c r="HZ41" s="137"/>
      <c r="IA41" s="137"/>
      <c r="IB41" s="137"/>
      <c r="IC41" s="137"/>
      <c r="ID41" s="137"/>
      <c r="IE41" s="137"/>
      <c r="IF41" s="137"/>
      <c r="IG41" s="137"/>
      <c r="IH41" s="137"/>
      <c r="II41" s="137"/>
      <c r="IJ41" s="137"/>
      <c r="IK41" s="137"/>
      <c r="IL41" s="137"/>
      <c r="IM41" s="137"/>
      <c r="IN41" s="137"/>
      <c r="IO41" s="137"/>
      <c r="IP41" s="137"/>
      <c r="IQ41" s="137"/>
      <c r="IR41" s="137"/>
      <c r="IS41" s="137"/>
      <c r="IT41" s="137"/>
      <c r="IU41" s="137"/>
      <c r="IV41" s="137"/>
    </row>
    <row r="42" spans="1:256" ht="12.75">
      <c r="A42" s="121" t="s">
        <v>95</v>
      </c>
      <c r="B42" s="175" t="s">
        <v>27</v>
      </c>
      <c r="C42" s="176" t="s">
        <v>123</v>
      </c>
      <c r="D42" s="124" t="s">
        <v>3</v>
      </c>
      <c r="E42" s="124" t="s">
        <v>3</v>
      </c>
      <c r="F42" s="122" t="s">
        <v>3</v>
      </c>
      <c r="G42" s="177" t="s">
        <v>124</v>
      </c>
      <c r="H42" s="178">
        <f>SUM(H43:H43)</f>
        <v>0</v>
      </c>
      <c r="I42" s="127">
        <f>SUM(I43:I43)</f>
        <v>1699.48022</v>
      </c>
      <c r="J42" s="127">
        <f>SUM(J43:J43)</f>
        <v>0</v>
      </c>
      <c r="K42" s="126">
        <f>SUM(K43:K43)</f>
        <v>1699.48022</v>
      </c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  <c r="FT42" s="137"/>
      <c r="FU42" s="137"/>
      <c r="FV42" s="137"/>
      <c r="FW42" s="137"/>
      <c r="FX42" s="137"/>
      <c r="FY42" s="137"/>
      <c r="FZ42" s="137"/>
      <c r="GA42" s="137"/>
      <c r="GB42" s="137"/>
      <c r="GC42" s="137"/>
      <c r="GD42" s="137"/>
      <c r="GE42" s="137"/>
      <c r="GF42" s="137"/>
      <c r="GG42" s="137"/>
      <c r="GH42" s="137"/>
      <c r="GI42" s="137"/>
      <c r="GJ42" s="137"/>
      <c r="GK42" s="137"/>
      <c r="GL42" s="137"/>
      <c r="GM42" s="137"/>
      <c r="GN42" s="137"/>
      <c r="GO42" s="137"/>
      <c r="GP42" s="137"/>
      <c r="GQ42" s="137"/>
      <c r="GR42" s="137"/>
      <c r="GS42" s="137"/>
      <c r="GT42" s="137"/>
      <c r="GU42" s="137"/>
      <c r="GV42" s="137"/>
      <c r="GW42" s="137"/>
      <c r="GX42" s="137"/>
      <c r="GY42" s="137"/>
      <c r="GZ42" s="137"/>
      <c r="HA42" s="137"/>
      <c r="HB42" s="137"/>
      <c r="HC42" s="137"/>
      <c r="HD42" s="137"/>
      <c r="HE42" s="137"/>
      <c r="HF42" s="137"/>
      <c r="HG42" s="137"/>
      <c r="HH42" s="137"/>
      <c r="HI42" s="137"/>
      <c r="HJ42" s="137"/>
      <c r="HK42" s="137"/>
      <c r="HL42" s="137"/>
      <c r="HM42" s="137"/>
      <c r="HN42" s="137"/>
      <c r="HO42" s="137"/>
      <c r="HP42" s="137"/>
      <c r="HQ42" s="137"/>
      <c r="HR42" s="137"/>
      <c r="HS42" s="137"/>
      <c r="HT42" s="137"/>
      <c r="HU42" s="137"/>
      <c r="HV42" s="137"/>
      <c r="HW42" s="137"/>
      <c r="HX42" s="137"/>
      <c r="HY42" s="137"/>
      <c r="HZ42" s="137"/>
      <c r="IA42" s="137"/>
      <c r="IB42" s="137"/>
      <c r="IC42" s="137"/>
      <c r="ID42" s="137"/>
      <c r="IE42" s="137"/>
      <c r="IF42" s="137"/>
      <c r="IG42" s="137"/>
      <c r="IH42" s="137"/>
      <c r="II42" s="137"/>
      <c r="IJ42" s="137"/>
      <c r="IK42" s="137"/>
      <c r="IL42" s="137"/>
      <c r="IM42" s="137"/>
      <c r="IN42" s="137"/>
      <c r="IO42" s="137"/>
      <c r="IP42" s="137"/>
      <c r="IQ42" s="137"/>
      <c r="IR42" s="137"/>
      <c r="IS42" s="137"/>
      <c r="IT42" s="137"/>
      <c r="IU42" s="137"/>
      <c r="IV42" s="137"/>
    </row>
    <row r="43" spans="1:256" ht="13.5" thickBot="1">
      <c r="A43" s="179"/>
      <c r="B43" s="187"/>
      <c r="C43" s="188"/>
      <c r="D43" s="189"/>
      <c r="E43" s="189">
        <v>4118</v>
      </c>
      <c r="F43" s="183" t="s">
        <v>113</v>
      </c>
      <c r="G43" s="184" t="s">
        <v>114</v>
      </c>
      <c r="H43" s="190">
        <v>0</v>
      </c>
      <c r="I43" s="1">
        <v>1699.48022</v>
      </c>
      <c r="J43" s="186"/>
      <c r="K43" s="43">
        <f>I43+J43</f>
        <v>1699.48022</v>
      </c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137"/>
      <c r="FI43" s="137"/>
      <c r="FJ43" s="137"/>
      <c r="FK43" s="137"/>
      <c r="FL43" s="137"/>
      <c r="FM43" s="137"/>
      <c r="FN43" s="137"/>
      <c r="FO43" s="137"/>
      <c r="FP43" s="137"/>
      <c r="FQ43" s="137"/>
      <c r="FR43" s="137"/>
      <c r="FS43" s="137"/>
      <c r="FT43" s="137"/>
      <c r="FU43" s="137"/>
      <c r="FV43" s="137"/>
      <c r="FW43" s="137"/>
      <c r="FX43" s="137"/>
      <c r="FY43" s="137"/>
      <c r="FZ43" s="137"/>
      <c r="GA43" s="137"/>
      <c r="GB43" s="137"/>
      <c r="GC43" s="137"/>
      <c r="GD43" s="137"/>
      <c r="GE43" s="137"/>
      <c r="GF43" s="137"/>
      <c r="GG43" s="137"/>
      <c r="GH43" s="137"/>
      <c r="GI43" s="137"/>
      <c r="GJ43" s="137"/>
      <c r="GK43" s="137"/>
      <c r="GL43" s="137"/>
      <c r="GM43" s="137"/>
      <c r="GN43" s="137"/>
      <c r="GO43" s="137"/>
      <c r="GP43" s="137"/>
      <c r="GQ43" s="137"/>
      <c r="GR43" s="137"/>
      <c r="GS43" s="137"/>
      <c r="GT43" s="137"/>
      <c r="GU43" s="137"/>
      <c r="GV43" s="137"/>
      <c r="GW43" s="137"/>
      <c r="GX43" s="137"/>
      <c r="GY43" s="137"/>
      <c r="GZ43" s="137"/>
      <c r="HA43" s="137"/>
      <c r="HB43" s="137"/>
      <c r="HC43" s="137"/>
      <c r="HD43" s="137"/>
      <c r="HE43" s="137"/>
      <c r="HF43" s="137"/>
      <c r="HG43" s="137"/>
      <c r="HH43" s="137"/>
      <c r="HI43" s="137"/>
      <c r="HJ43" s="137"/>
      <c r="HK43" s="137"/>
      <c r="HL43" s="137"/>
      <c r="HM43" s="137"/>
      <c r="HN43" s="137"/>
      <c r="HO43" s="137"/>
      <c r="HP43" s="137"/>
      <c r="HQ43" s="137"/>
      <c r="HR43" s="137"/>
      <c r="HS43" s="137"/>
      <c r="HT43" s="137"/>
      <c r="HU43" s="137"/>
      <c r="HV43" s="137"/>
      <c r="HW43" s="137"/>
      <c r="HX43" s="137"/>
      <c r="HY43" s="137"/>
      <c r="HZ43" s="137"/>
      <c r="IA43" s="137"/>
      <c r="IB43" s="137"/>
      <c r="IC43" s="137"/>
      <c r="ID43" s="137"/>
      <c r="IE43" s="137"/>
      <c r="IF43" s="137"/>
      <c r="IG43" s="137"/>
      <c r="IH43" s="137"/>
      <c r="II43" s="137"/>
      <c r="IJ43" s="137"/>
      <c r="IK43" s="137"/>
      <c r="IL43" s="137"/>
      <c r="IM43" s="137"/>
      <c r="IN43" s="137"/>
      <c r="IO43" s="137"/>
      <c r="IP43" s="137"/>
      <c r="IQ43" s="137"/>
      <c r="IR43" s="137"/>
      <c r="IS43" s="137"/>
      <c r="IT43" s="137"/>
      <c r="IU43" s="137"/>
      <c r="IV43" s="137"/>
    </row>
    <row r="44" spans="1:256" ht="12.75">
      <c r="A44" s="121" t="s">
        <v>95</v>
      </c>
      <c r="B44" s="175" t="s">
        <v>27</v>
      </c>
      <c r="C44" s="176" t="s">
        <v>125</v>
      </c>
      <c r="D44" s="124" t="s">
        <v>3</v>
      </c>
      <c r="E44" s="124" t="s">
        <v>3</v>
      </c>
      <c r="F44" s="122" t="s">
        <v>3</v>
      </c>
      <c r="G44" s="177" t="s">
        <v>126</v>
      </c>
      <c r="H44" s="178">
        <f>SUM(H45:H45)</f>
        <v>0</v>
      </c>
      <c r="I44" s="127">
        <f>SUM(I45:I45)</f>
        <v>1335.15844</v>
      </c>
      <c r="J44" s="127">
        <f>SUM(J45:J45)</f>
        <v>0</v>
      </c>
      <c r="K44" s="126">
        <f>SUM(K45:K45)</f>
        <v>1335.15844</v>
      </c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7"/>
      <c r="FF44" s="137"/>
      <c r="FG44" s="137"/>
      <c r="FH44" s="137"/>
      <c r="FI44" s="137"/>
      <c r="FJ44" s="137"/>
      <c r="FK44" s="137"/>
      <c r="FL44" s="137"/>
      <c r="FM44" s="137"/>
      <c r="FN44" s="137"/>
      <c r="FO44" s="137"/>
      <c r="FP44" s="137"/>
      <c r="FQ44" s="137"/>
      <c r="FR44" s="137"/>
      <c r="FS44" s="137"/>
      <c r="FT44" s="137"/>
      <c r="FU44" s="137"/>
      <c r="FV44" s="137"/>
      <c r="FW44" s="137"/>
      <c r="FX44" s="137"/>
      <c r="FY44" s="137"/>
      <c r="FZ44" s="137"/>
      <c r="GA44" s="137"/>
      <c r="GB44" s="137"/>
      <c r="GC44" s="137"/>
      <c r="GD44" s="137"/>
      <c r="GE44" s="137"/>
      <c r="GF44" s="137"/>
      <c r="GG44" s="137"/>
      <c r="GH44" s="137"/>
      <c r="GI44" s="137"/>
      <c r="GJ44" s="137"/>
      <c r="GK44" s="137"/>
      <c r="GL44" s="137"/>
      <c r="GM44" s="137"/>
      <c r="GN44" s="137"/>
      <c r="GO44" s="137"/>
      <c r="GP44" s="137"/>
      <c r="GQ44" s="137"/>
      <c r="GR44" s="137"/>
      <c r="GS44" s="137"/>
      <c r="GT44" s="137"/>
      <c r="GU44" s="137"/>
      <c r="GV44" s="137"/>
      <c r="GW44" s="137"/>
      <c r="GX44" s="137"/>
      <c r="GY44" s="137"/>
      <c r="GZ44" s="137"/>
      <c r="HA44" s="137"/>
      <c r="HB44" s="137"/>
      <c r="HC44" s="137"/>
      <c r="HD44" s="137"/>
      <c r="HE44" s="137"/>
      <c r="HF44" s="137"/>
      <c r="HG44" s="137"/>
      <c r="HH44" s="137"/>
      <c r="HI44" s="137"/>
      <c r="HJ44" s="137"/>
      <c r="HK44" s="137"/>
      <c r="HL44" s="137"/>
      <c r="HM44" s="137"/>
      <c r="HN44" s="137"/>
      <c r="HO44" s="137"/>
      <c r="HP44" s="137"/>
      <c r="HQ44" s="137"/>
      <c r="HR44" s="137"/>
      <c r="HS44" s="137"/>
      <c r="HT44" s="137"/>
      <c r="HU44" s="137"/>
      <c r="HV44" s="137"/>
      <c r="HW44" s="137"/>
      <c r="HX44" s="137"/>
      <c r="HY44" s="137"/>
      <c r="HZ44" s="137"/>
      <c r="IA44" s="137"/>
      <c r="IB44" s="137"/>
      <c r="IC44" s="137"/>
      <c r="ID44" s="137"/>
      <c r="IE44" s="137"/>
      <c r="IF44" s="137"/>
      <c r="IG44" s="137"/>
      <c r="IH44" s="137"/>
      <c r="II44" s="137"/>
      <c r="IJ44" s="137"/>
      <c r="IK44" s="137"/>
      <c r="IL44" s="137"/>
      <c r="IM44" s="137"/>
      <c r="IN44" s="137"/>
      <c r="IO44" s="137"/>
      <c r="IP44" s="137"/>
      <c r="IQ44" s="137"/>
      <c r="IR44" s="137"/>
      <c r="IS44" s="137"/>
      <c r="IT44" s="137"/>
      <c r="IU44" s="137"/>
      <c r="IV44" s="137"/>
    </row>
    <row r="45" spans="1:256" ht="13.5" thickBot="1">
      <c r="A45" s="179"/>
      <c r="B45" s="187"/>
      <c r="C45" s="188"/>
      <c r="D45" s="189"/>
      <c r="E45" s="189">
        <v>4118</v>
      </c>
      <c r="F45" s="183" t="s">
        <v>113</v>
      </c>
      <c r="G45" s="184" t="s">
        <v>114</v>
      </c>
      <c r="H45" s="190">
        <v>0</v>
      </c>
      <c r="I45" s="1">
        <v>1335.15844</v>
      </c>
      <c r="J45" s="186"/>
      <c r="K45" s="43">
        <f>I45+J45</f>
        <v>1335.15844</v>
      </c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137"/>
      <c r="DX45" s="137"/>
      <c r="DY45" s="137"/>
      <c r="DZ45" s="137"/>
      <c r="EA45" s="137"/>
      <c r="EB45" s="137"/>
      <c r="EC45" s="137"/>
      <c r="ED45" s="137"/>
      <c r="EE45" s="137"/>
      <c r="EF45" s="137"/>
      <c r="EG45" s="137"/>
      <c r="EH45" s="137"/>
      <c r="EI45" s="137"/>
      <c r="EJ45" s="137"/>
      <c r="EK45" s="137"/>
      <c r="EL45" s="137"/>
      <c r="EM45" s="137"/>
      <c r="EN45" s="137"/>
      <c r="EO45" s="137"/>
      <c r="EP45" s="137"/>
      <c r="EQ45" s="137"/>
      <c r="ER45" s="137"/>
      <c r="ES45" s="137"/>
      <c r="ET45" s="137"/>
      <c r="EU45" s="137"/>
      <c r="EV45" s="137"/>
      <c r="EW45" s="137"/>
      <c r="EX45" s="137"/>
      <c r="EY45" s="137"/>
      <c r="EZ45" s="137"/>
      <c r="FA45" s="137"/>
      <c r="FB45" s="137"/>
      <c r="FC45" s="137"/>
      <c r="FD45" s="137"/>
      <c r="FE45" s="137"/>
      <c r="FF45" s="137"/>
      <c r="FG45" s="137"/>
      <c r="FH45" s="137"/>
      <c r="FI45" s="137"/>
      <c r="FJ45" s="137"/>
      <c r="FK45" s="137"/>
      <c r="FL45" s="137"/>
      <c r="FM45" s="137"/>
      <c r="FN45" s="137"/>
      <c r="FO45" s="137"/>
      <c r="FP45" s="137"/>
      <c r="FQ45" s="137"/>
      <c r="FR45" s="137"/>
      <c r="FS45" s="137"/>
      <c r="FT45" s="137"/>
      <c r="FU45" s="137"/>
      <c r="FV45" s="137"/>
      <c r="FW45" s="137"/>
      <c r="FX45" s="137"/>
      <c r="FY45" s="137"/>
      <c r="FZ45" s="137"/>
      <c r="GA45" s="137"/>
      <c r="GB45" s="137"/>
      <c r="GC45" s="137"/>
      <c r="GD45" s="137"/>
      <c r="GE45" s="137"/>
      <c r="GF45" s="137"/>
      <c r="GG45" s="137"/>
      <c r="GH45" s="137"/>
      <c r="GI45" s="137"/>
      <c r="GJ45" s="137"/>
      <c r="GK45" s="137"/>
      <c r="GL45" s="137"/>
      <c r="GM45" s="137"/>
      <c r="GN45" s="137"/>
      <c r="GO45" s="137"/>
      <c r="GP45" s="137"/>
      <c r="GQ45" s="137"/>
      <c r="GR45" s="137"/>
      <c r="GS45" s="137"/>
      <c r="GT45" s="137"/>
      <c r="GU45" s="137"/>
      <c r="GV45" s="137"/>
      <c r="GW45" s="137"/>
      <c r="GX45" s="137"/>
      <c r="GY45" s="137"/>
      <c r="GZ45" s="137"/>
      <c r="HA45" s="137"/>
      <c r="HB45" s="137"/>
      <c r="HC45" s="137"/>
      <c r="HD45" s="137"/>
      <c r="HE45" s="137"/>
      <c r="HF45" s="137"/>
      <c r="HG45" s="137"/>
      <c r="HH45" s="137"/>
      <c r="HI45" s="137"/>
      <c r="HJ45" s="137"/>
      <c r="HK45" s="137"/>
      <c r="HL45" s="137"/>
      <c r="HM45" s="137"/>
      <c r="HN45" s="137"/>
      <c r="HO45" s="137"/>
      <c r="HP45" s="137"/>
      <c r="HQ45" s="137"/>
      <c r="HR45" s="137"/>
      <c r="HS45" s="137"/>
      <c r="HT45" s="137"/>
      <c r="HU45" s="137"/>
      <c r="HV45" s="137"/>
      <c r="HW45" s="137"/>
      <c r="HX45" s="137"/>
      <c r="HY45" s="137"/>
      <c r="HZ45" s="137"/>
      <c r="IA45" s="137"/>
      <c r="IB45" s="137"/>
      <c r="IC45" s="137"/>
      <c r="ID45" s="137"/>
      <c r="IE45" s="137"/>
      <c r="IF45" s="137"/>
      <c r="IG45" s="137"/>
      <c r="IH45" s="137"/>
      <c r="II45" s="137"/>
      <c r="IJ45" s="137"/>
      <c r="IK45" s="137"/>
      <c r="IL45" s="137"/>
      <c r="IM45" s="137"/>
      <c r="IN45" s="137"/>
      <c r="IO45" s="137"/>
      <c r="IP45" s="137"/>
      <c r="IQ45" s="137"/>
      <c r="IR45" s="137"/>
      <c r="IS45" s="137"/>
      <c r="IT45" s="137"/>
      <c r="IU45" s="137"/>
      <c r="IV45" s="137"/>
    </row>
    <row r="46" spans="1:256" ht="12.75">
      <c r="A46" s="121" t="s">
        <v>95</v>
      </c>
      <c r="B46" s="175" t="s">
        <v>27</v>
      </c>
      <c r="C46" s="176" t="s">
        <v>127</v>
      </c>
      <c r="D46" s="124" t="s">
        <v>3</v>
      </c>
      <c r="E46" s="124" t="s">
        <v>3</v>
      </c>
      <c r="F46" s="122" t="s">
        <v>3</v>
      </c>
      <c r="G46" s="177" t="s">
        <v>128</v>
      </c>
      <c r="H46" s="178">
        <f>SUM(H47:H47)</f>
        <v>0</v>
      </c>
      <c r="I46" s="127">
        <f>SUM(I47:I47)</f>
        <v>265.66696</v>
      </c>
      <c r="J46" s="127">
        <f>SUM(J47:J47)</f>
        <v>0</v>
      </c>
      <c r="K46" s="126">
        <f>SUM(K47:K47)</f>
        <v>265.66696</v>
      </c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137"/>
      <c r="EU46" s="137"/>
      <c r="EV46" s="137"/>
      <c r="EW46" s="137"/>
      <c r="EX46" s="137"/>
      <c r="EY46" s="137"/>
      <c r="EZ46" s="137"/>
      <c r="FA46" s="137"/>
      <c r="FB46" s="137"/>
      <c r="FC46" s="137"/>
      <c r="FD46" s="137"/>
      <c r="FE46" s="137"/>
      <c r="FF46" s="137"/>
      <c r="FG46" s="137"/>
      <c r="FH46" s="137"/>
      <c r="FI46" s="137"/>
      <c r="FJ46" s="137"/>
      <c r="FK46" s="137"/>
      <c r="FL46" s="137"/>
      <c r="FM46" s="137"/>
      <c r="FN46" s="137"/>
      <c r="FO46" s="137"/>
      <c r="FP46" s="137"/>
      <c r="FQ46" s="137"/>
      <c r="FR46" s="137"/>
      <c r="FS46" s="137"/>
      <c r="FT46" s="137"/>
      <c r="FU46" s="137"/>
      <c r="FV46" s="137"/>
      <c r="FW46" s="137"/>
      <c r="FX46" s="137"/>
      <c r="FY46" s="137"/>
      <c r="FZ46" s="137"/>
      <c r="GA46" s="137"/>
      <c r="GB46" s="137"/>
      <c r="GC46" s="137"/>
      <c r="GD46" s="137"/>
      <c r="GE46" s="137"/>
      <c r="GF46" s="137"/>
      <c r="GG46" s="137"/>
      <c r="GH46" s="137"/>
      <c r="GI46" s="137"/>
      <c r="GJ46" s="137"/>
      <c r="GK46" s="137"/>
      <c r="GL46" s="137"/>
      <c r="GM46" s="137"/>
      <c r="GN46" s="137"/>
      <c r="GO46" s="137"/>
      <c r="GP46" s="137"/>
      <c r="GQ46" s="137"/>
      <c r="GR46" s="137"/>
      <c r="GS46" s="137"/>
      <c r="GT46" s="137"/>
      <c r="GU46" s="137"/>
      <c r="GV46" s="137"/>
      <c r="GW46" s="137"/>
      <c r="GX46" s="137"/>
      <c r="GY46" s="137"/>
      <c r="GZ46" s="137"/>
      <c r="HA46" s="137"/>
      <c r="HB46" s="137"/>
      <c r="HC46" s="137"/>
      <c r="HD46" s="137"/>
      <c r="HE46" s="137"/>
      <c r="HF46" s="137"/>
      <c r="HG46" s="137"/>
      <c r="HH46" s="137"/>
      <c r="HI46" s="137"/>
      <c r="HJ46" s="137"/>
      <c r="HK46" s="137"/>
      <c r="HL46" s="137"/>
      <c r="HM46" s="137"/>
      <c r="HN46" s="137"/>
      <c r="HO46" s="137"/>
      <c r="HP46" s="137"/>
      <c r="HQ46" s="137"/>
      <c r="HR46" s="137"/>
      <c r="HS46" s="137"/>
      <c r="HT46" s="137"/>
      <c r="HU46" s="137"/>
      <c r="HV46" s="137"/>
      <c r="HW46" s="137"/>
      <c r="HX46" s="137"/>
      <c r="HY46" s="137"/>
      <c r="HZ46" s="137"/>
      <c r="IA46" s="137"/>
      <c r="IB46" s="137"/>
      <c r="IC46" s="137"/>
      <c r="ID46" s="137"/>
      <c r="IE46" s="137"/>
      <c r="IF46" s="137"/>
      <c r="IG46" s="137"/>
      <c r="IH46" s="137"/>
      <c r="II46" s="137"/>
      <c r="IJ46" s="137"/>
      <c r="IK46" s="137"/>
      <c r="IL46" s="137"/>
      <c r="IM46" s="137"/>
      <c r="IN46" s="137"/>
      <c r="IO46" s="137"/>
      <c r="IP46" s="137"/>
      <c r="IQ46" s="137"/>
      <c r="IR46" s="137"/>
      <c r="IS46" s="137"/>
      <c r="IT46" s="137"/>
      <c r="IU46" s="137"/>
      <c r="IV46" s="137"/>
    </row>
    <row r="47" spans="1:256" ht="13.5" thickBot="1">
      <c r="A47" s="179"/>
      <c r="B47" s="180"/>
      <c r="C47" s="181"/>
      <c r="D47" s="182"/>
      <c r="E47" s="182">
        <v>4118</v>
      </c>
      <c r="F47" s="183" t="s">
        <v>113</v>
      </c>
      <c r="G47" s="184" t="s">
        <v>114</v>
      </c>
      <c r="H47" s="185">
        <v>0</v>
      </c>
      <c r="I47" s="1">
        <v>265.66696</v>
      </c>
      <c r="J47" s="186"/>
      <c r="K47" s="42">
        <f>I47+J47</f>
        <v>265.66696</v>
      </c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37"/>
      <c r="EA47" s="137"/>
      <c r="EB47" s="137"/>
      <c r="EC47" s="137"/>
      <c r="ED47" s="137"/>
      <c r="EE47" s="137"/>
      <c r="EF47" s="137"/>
      <c r="EG47" s="137"/>
      <c r="EH47" s="137"/>
      <c r="EI47" s="137"/>
      <c r="EJ47" s="137"/>
      <c r="EK47" s="137"/>
      <c r="EL47" s="137"/>
      <c r="EM47" s="137"/>
      <c r="EN47" s="137"/>
      <c r="EO47" s="137"/>
      <c r="EP47" s="137"/>
      <c r="EQ47" s="137"/>
      <c r="ER47" s="137"/>
      <c r="ES47" s="137"/>
      <c r="ET47" s="137"/>
      <c r="EU47" s="137"/>
      <c r="EV47" s="137"/>
      <c r="EW47" s="137"/>
      <c r="EX47" s="137"/>
      <c r="EY47" s="137"/>
      <c r="EZ47" s="137"/>
      <c r="FA47" s="137"/>
      <c r="FB47" s="137"/>
      <c r="FC47" s="137"/>
      <c r="FD47" s="137"/>
      <c r="FE47" s="137"/>
      <c r="FF47" s="137"/>
      <c r="FG47" s="137"/>
      <c r="FH47" s="137"/>
      <c r="FI47" s="137"/>
      <c r="FJ47" s="137"/>
      <c r="FK47" s="137"/>
      <c r="FL47" s="137"/>
      <c r="FM47" s="137"/>
      <c r="FN47" s="137"/>
      <c r="FO47" s="137"/>
      <c r="FP47" s="137"/>
      <c r="FQ47" s="137"/>
      <c r="FR47" s="137"/>
      <c r="FS47" s="137"/>
      <c r="FT47" s="137"/>
      <c r="FU47" s="137"/>
      <c r="FV47" s="137"/>
      <c r="FW47" s="137"/>
      <c r="FX47" s="137"/>
      <c r="FY47" s="137"/>
      <c r="FZ47" s="137"/>
      <c r="GA47" s="137"/>
      <c r="GB47" s="137"/>
      <c r="GC47" s="137"/>
      <c r="GD47" s="137"/>
      <c r="GE47" s="137"/>
      <c r="GF47" s="137"/>
      <c r="GG47" s="137"/>
      <c r="GH47" s="137"/>
      <c r="GI47" s="137"/>
      <c r="GJ47" s="137"/>
      <c r="GK47" s="137"/>
      <c r="GL47" s="137"/>
      <c r="GM47" s="137"/>
      <c r="GN47" s="137"/>
      <c r="GO47" s="137"/>
      <c r="GP47" s="137"/>
      <c r="GQ47" s="137"/>
      <c r="GR47" s="137"/>
      <c r="GS47" s="137"/>
      <c r="GT47" s="137"/>
      <c r="GU47" s="137"/>
      <c r="GV47" s="137"/>
      <c r="GW47" s="137"/>
      <c r="GX47" s="137"/>
      <c r="GY47" s="137"/>
      <c r="GZ47" s="137"/>
      <c r="HA47" s="137"/>
      <c r="HB47" s="137"/>
      <c r="HC47" s="137"/>
      <c r="HD47" s="137"/>
      <c r="HE47" s="137"/>
      <c r="HF47" s="137"/>
      <c r="HG47" s="137"/>
      <c r="HH47" s="137"/>
      <c r="HI47" s="137"/>
      <c r="HJ47" s="137"/>
      <c r="HK47" s="137"/>
      <c r="HL47" s="137"/>
      <c r="HM47" s="137"/>
      <c r="HN47" s="137"/>
      <c r="HO47" s="137"/>
      <c r="HP47" s="137"/>
      <c r="HQ47" s="137"/>
      <c r="HR47" s="137"/>
      <c r="HS47" s="137"/>
      <c r="HT47" s="137"/>
      <c r="HU47" s="137"/>
      <c r="HV47" s="137"/>
      <c r="HW47" s="137"/>
      <c r="HX47" s="137"/>
      <c r="HY47" s="137"/>
      <c r="HZ47" s="137"/>
      <c r="IA47" s="137"/>
      <c r="IB47" s="137"/>
      <c r="IC47" s="137"/>
      <c r="ID47" s="137"/>
      <c r="IE47" s="137"/>
      <c r="IF47" s="137"/>
      <c r="IG47" s="137"/>
      <c r="IH47" s="137"/>
      <c r="II47" s="137"/>
      <c r="IJ47" s="137"/>
      <c r="IK47" s="137"/>
      <c r="IL47" s="137"/>
      <c r="IM47" s="137"/>
      <c r="IN47" s="137"/>
      <c r="IO47" s="137"/>
      <c r="IP47" s="137"/>
      <c r="IQ47" s="137"/>
      <c r="IR47" s="137"/>
      <c r="IS47" s="137"/>
      <c r="IT47" s="137"/>
      <c r="IU47" s="137"/>
      <c r="IV47" s="137"/>
    </row>
    <row r="48" spans="1:256" ht="12.75">
      <c r="A48" s="121" t="s">
        <v>95</v>
      </c>
      <c r="B48" s="175" t="s">
        <v>27</v>
      </c>
      <c r="C48" s="176" t="s">
        <v>129</v>
      </c>
      <c r="D48" s="124" t="s">
        <v>3</v>
      </c>
      <c r="E48" s="124" t="s">
        <v>3</v>
      </c>
      <c r="F48" s="122" t="s">
        <v>3</v>
      </c>
      <c r="G48" s="177" t="s">
        <v>130</v>
      </c>
      <c r="H48" s="178">
        <f>SUM(H49:H49)</f>
        <v>0</v>
      </c>
      <c r="I48" s="127">
        <f>SUM(I49:I49)</f>
        <v>1825.99958</v>
      </c>
      <c r="J48" s="127">
        <f>SUM(J49:J49)</f>
        <v>0</v>
      </c>
      <c r="K48" s="126">
        <f>SUM(K49:K49)</f>
        <v>1825.99958</v>
      </c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7"/>
      <c r="EF48" s="137"/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7"/>
      <c r="ES48" s="137"/>
      <c r="ET48" s="137"/>
      <c r="EU48" s="137"/>
      <c r="EV48" s="137"/>
      <c r="EW48" s="137"/>
      <c r="EX48" s="137"/>
      <c r="EY48" s="137"/>
      <c r="EZ48" s="137"/>
      <c r="FA48" s="137"/>
      <c r="FB48" s="137"/>
      <c r="FC48" s="137"/>
      <c r="FD48" s="137"/>
      <c r="FE48" s="137"/>
      <c r="FF48" s="137"/>
      <c r="FG48" s="137"/>
      <c r="FH48" s="137"/>
      <c r="FI48" s="137"/>
      <c r="FJ48" s="137"/>
      <c r="FK48" s="137"/>
      <c r="FL48" s="137"/>
      <c r="FM48" s="137"/>
      <c r="FN48" s="137"/>
      <c r="FO48" s="137"/>
      <c r="FP48" s="137"/>
      <c r="FQ48" s="137"/>
      <c r="FR48" s="137"/>
      <c r="FS48" s="137"/>
      <c r="FT48" s="137"/>
      <c r="FU48" s="137"/>
      <c r="FV48" s="137"/>
      <c r="FW48" s="137"/>
      <c r="FX48" s="137"/>
      <c r="FY48" s="137"/>
      <c r="FZ48" s="137"/>
      <c r="GA48" s="137"/>
      <c r="GB48" s="137"/>
      <c r="GC48" s="137"/>
      <c r="GD48" s="137"/>
      <c r="GE48" s="137"/>
      <c r="GF48" s="137"/>
      <c r="GG48" s="137"/>
      <c r="GH48" s="137"/>
      <c r="GI48" s="137"/>
      <c r="GJ48" s="137"/>
      <c r="GK48" s="137"/>
      <c r="GL48" s="137"/>
      <c r="GM48" s="137"/>
      <c r="GN48" s="137"/>
      <c r="GO48" s="137"/>
      <c r="GP48" s="137"/>
      <c r="GQ48" s="137"/>
      <c r="GR48" s="137"/>
      <c r="GS48" s="137"/>
      <c r="GT48" s="137"/>
      <c r="GU48" s="137"/>
      <c r="GV48" s="137"/>
      <c r="GW48" s="137"/>
      <c r="GX48" s="137"/>
      <c r="GY48" s="137"/>
      <c r="GZ48" s="137"/>
      <c r="HA48" s="137"/>
      <c r="HB48" s="137"/>
      <c r="HC48" s="137"/>
      <c r="HD48" s="137"/>
      <c r="HE48" s="137"/>
      <c r="HF48" s="137"/>
      <c r="HG48" s="137"/>
      <c r="HH48" s="137"/>
      <c r="HI48" s="137"/>
      <c r="HJ48" s="137"/>
      <c r="HK48" s="137"/>
      <c r="HL48" s="137"/>
      <c r="HM48" s="137"/>
      <c r="HN48" s="137"/>
      <c r="HO48" s="137"/>
      <c r="HP48" s="137"/>
      <c r="HQ48" s="137"/>
      <c r="HR48" s="137"/>
      <c r="HS48" s="137"/>
      <c r="HT48" s="137"/>
      <c r="HU48" s="137"/>
      <c r="HV48" s="137"/>
      <c r="HW48" s="137"/>
      <c r="HX48" s="137"/>
      <c r="HY48" s="137"/>
      <c r="HZ48" s="137"/>
      <c r="IA48" s="137"/>
      <c r="IB48" s="137"/>
      <c r="IC48" s="137"/>
      <c r="ID48" s="137"/>
      <c r="IE48" s="137"/>
      <c r="IF48" s="137"/>
      <c r="IG48" s="137"/>
      <c r="IH48" s="137"/>
      <c r="II48" s="137"/>
      <c r="IJ48" s="137"/>
      <c r="IK48" s="137"/>
      <c r="IL48" s="137"/>
      <c r="IM48" s="137"/>
      <c r="IN48" s="137"/>
      <c r="IO48" s="137"/>
      <c r="IP48" s="137"/>
      <c r="IQ48" s="137"/>
      <c r="IR48" s="137"/>
      <c r="IS48" s="137"/>
      <c r="IT48" s="137"/>
      <c r="IU48" s="137"/>
      <c r="IV48" s="137"/>
    </row>
    <row r="49" spans="1:256" ht="13.5" thickBot="1">
      <c r="A49" s="179"/>
      <c r="B49" s="180"/>
      <c r="C49" s="181"/>
      <c r="D49" s="182"/>
      <c r="E49" s="182">
        <v>4118</v>
      </c>
      <c r="F49" s="183" t="s">
        <v>113</v>
      </c>
      <c r="G49" s="184" t="s">
        <v>114</v>
      </c>
      <c r="H49" s="185">
        <v>0</v>
      </c>
      <c r="I49" s="1">
        <v>1825.99958</v>
      </c>
      <c r="J49" s="186"/>
      <c r="K49" s="42">
        <f>I49+J49</f>
        <v>1825.99958</v>
      </c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137"/>
      <c r="EF49" s="137"/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7"/>
      <c r="ES49" s="137"/>
      <c r="ET49" s="137"/>
      <c r="EU49" s="137"/>
      <c r="EV49" s="137"/>
      <c r="EW49" s="137"/>
      <c r="EX49" s="137"/>
      <c r="EY49" s="137"/>
      <c r="EZ49" s="137"/>
      <c r="FA49" s="137"/>
      <c r="FB49" s="137"/>
      <c r="FC49" s="137"/>
      <c r="FD49" s="137"/>
      <c r="FE49" s="137"/>
      <c r="FF49" s="137"/>
      <c r="FG49" s="137"/>
      <c r="FH49" s="137"/>
      <c r="FI49" s="137"/>
      <c r="FJ49" s="137"/>
      <c r="FK49" s="137"/>
      <c r="FL49" s="137"/>
      <c r="FM49" s="137"/>
      <c r="FN49" s="137"/>
      <c r="FO49" s="137"/>
      <c r="FP49" s="137"/>
      <c r="FQ49" s="137"/>
      <c r="FR49" s="137"/>
      <c r="FS49" s="137"/>
      <c r="FT49" s="137"/>
      <c r="FU49" s="137"/>
      <c r="FV49" s="137"/>
      <c r="FW49" s="137"/>
      <c r="FX49" s="137"/>
      <c r="FY49" s="137"/>
      <c r="FZ49" s="137"/>
      <c r="GA49" s="137"/>
      <c r="GB49" s="137"/>
      <c r="GC49" s="137"/>
      <c r="GD49" s="137"/>
      <c r="GE49" s="137"/>
      <c r="GF49" s="137"/>
      <c r="GG49" s="137"/>
      <c r="GH49" s="137"/>
      <c r="GI49" s="137"/>
      <c r="GJ49" s="137"/>
      <c r="GK49" s="137"/>
      <c r="GL49" s="137"/>
      <c r="GM49" s="137"/>
      <c r="GN49" s="137"/>
      <c r="GO49" s="137"/>
      <c r="GP49" s="137"/>
      <c r="GQ49" s="137"/>
      <c r="GR49" s="137"/>
      <c r="GS49" s="137"/>
      <c r="GT49" s="137"/>
      <c r="GU49" s="137"/>
      <c r="GV49" s="137"/>
      <c r="GW49" s="137"/>
      <c r="GX49" s="137"/>
      <c r="GY49" s="137"/>
      <c r="GZ49" s="137"/>
      <c r="HA49" s="137"/>
      <c r="HB49" s="137"/>
      <c r="HC49" s="137"/>
      <c r="HD49" s="137"/>
      <c r="HE49" s="137"/>
      <c r="HF49" s="137"/>
      <c r="HG49" s="137"/>
      <c r="HH49" s="137"/>
      <c r="HI49" s="137"/>
      <c r="HJ49" s="137"/>
      <c r="HK49" s="137"/>
      <c r="HL49" s="137"/>
      <c r="HM49" s="137"/>
      <c r="HN49" s="137"/>
      <c r="HO49" s="137"/>
      <c r="HP49" s="137"/>
      <c r="HQ49" s="137"/>
      <c r="HR49" s="137"/>
      <c r="HS49" s="137"/>
      <c r="HT49" s="137"/>
      <c r="HU49" s="137"/>
      <c r="HV49" s="137"/>
      <c r="HW49" s="137"/>
      <c r="HX49" s="137"/>
      <c r="HY49" s="137"/>
      <c r="HZ49" s="137"/>
      <c r="IA49" s="137"/>
      <c r="IB49" s="137"/>
      <c r="IC49" s="137"/>
      <c r="ID49" s="137"/>
      <c r="IE49" s="137"/>
      <c r="IF49" s="137"/>
      <c r="IG49" s="137"/>
      <c r="IH49" s="137"/>
      <c r="II49" s="137"/>
      <c r="IJ49" s="137"/>
      <c r="IK49" s="137"/>
      <c r="IL49" s="137"/>
      <c r="IM49" s="137"/>
      <c r="IN49" s="137"/>
      <c r="IO49" s="137"/>
      <c r="IP49" s="137"/>
      <c r="IQ49" s="137"/>
      <c r="IR49" s="137"/>
      <c r="IS49" s="137"/>
      <c r="IT49" s="137"/>
      <c r="IU49" s="137"/>
      <c r="IV49" s="137"/>
    </row>
    <row r="50" spans="1:256" ht="12.75">
      <c r="A50" s="121" t="s">
        <v>95</v>
      </c>
      <c r="B50" s="175" t="s">
        <v>27</v>
      </c>
      <c r="C50" s="176" t="s">
        <v>131</v>
      </c>
      <c r="D50" s="124" t="s">
        <v>3</v>
      </c>
      <c r="E50" s="124" t="s">
        <v>3</v>
      </c>
      <c r="F50" s="122" t="s">
        <v>3</v>
      </c>
      <c r="G50" s="177" t="s">
        <v>132</v>
      </c>
      <c r="H50" s="178">
        <f>SUM(H51:H51)</f>
        <v>0</v>
      </c>
      <c r="I50" s="127">
        <f>SUM(I51:I51)</f>
        <v>492.69489</v>
      </c>
      <c r="J50" s="127">
        <f>SUM(J51:J51)</f>
        <v>0</v>
      </c>
      <c r="K50" s="126">
        <f>SUM(K51:K51)</f>
        <v>492.69489</v>
      </c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7"/>
      <c r="EE50" s="137"/>
      <c r="EF50" s="137"/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7"/>
      <c r="ES50" s="137"/>
      <c r="ET50" s="137"/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7"/>
      <c r="FF50" s="137"/>
      <c r="FG50" s="137"/>
      <c r="FH50" s="137"/>
      <c r="FI50" s="137"/>
      <c r="FJ50" s="137"/>
      <c r="FK50" s="137"/>
      <c r="FL50" s="137"/>
      <c r="FM50" s="137"/>
      <c r="FN50" s="137"/>
      <c r="FO50" s="137"/>
      <c r="FP50" s="137"/>
      <c r="FQ50" s="137"/>
      <c r="FR50" s="137"/>
      <c r="FS50" s="137"/>
      <c r="FT50" s="137"/>
      <c r="FU50" s="137"/>
      <c r="FV50" s="137"/>
      <c r="FW50" s="137"/>
      <c r="FX50" s="137"/>
      <c r="FY50" s="137"/>
      <c r="FZ50" s="137"/>
      <c r="GA50" s="137"/>
      <c r="GB50" s="137"/>
      <c r="GC50" s="137"/>
      <c r="GD50" s="137"/>
      <c r="GE50" s="137"/>
      <c r="GF50" s="137"/>
      <c r="GG50" s="137"/>
      <c r="GH50" s="137"/>
      <c r="GI50" s="137"/>
      <c r="GJ50" s="137"/>
      <c r="GK50" s="137"/>
      <c r="GL50" s="137"/>
      <c r="GM50" s="137"/>
      <c r="GN50" s="137"/>
      <c r="GO50" s="137"/>
      <c r="GP50" s="137"/>
      <c r="GQ50" s="137"/>
      <c r="GR50" s="137"/>
      <c r="GS50" s="137"/>
      <c r="GT50" s="137"/>
      <c r="GU50" s="137"/>
      <c r="GV50" s="137"/>
      <c r="GW50" s="137"/>
      <c r="GX50" s="137"/>
      <c r="GY50" s="137"/>
      <c r="GZ50" s="137"/>
      <c r="HA50" s="137"/>
      <c r="HB50" s="137"/>
      <c r="HC50" s="137"/>
      <c r="HD50" s="137"/>
      <c r="HE50" s="137"/>
      <c r="HF50" s="137"/>
      <c r="HG50" s="137"/>
      <c r="HH50" s="137"/>
      <c r="HI50" s="137"/>
      <c r="HJ50" s="137"/>
      <c r="HK50" s="137"/>
      <c r="HL50" s="137"/>
      <c r="HM50" s="137"/>
      <c r="HN50" s="137"/>
      <c r="HO50" s="137"/>
      <c r="HP50" s="137"/>
      <c r="HQ50" s="137"/>
      <c r="HR50" s="137"/>
      <c r="HS50" s="137"/>
      <c r="HT50" s="137"/>
      <c r="HU50" s="137"/>
      <c r="HV50" s="137"/>
      <c r="HW50" s="137"/>
      <c r="HX50" s="137"/>
      <c r="HY50" s="137"/>
      <c r="HZ50" s="137"/>
      <c r="IA50" s="137"/>
      <c r="IB50" s="137"/>
      <c r="IC50" s="137"/>
      <c r="ID50" s="137"/>
      <c r="IE50" s="137"/>
      <c r="IF50" s="137"/>
      <c r="IG50" s="137"/>
      <c r="IH50" s="137"/>
      <c r="II50" s="137"/>
      <c r="IJ50" s="137"/>
      <c r="IK50" s="137"/>
      <c r="IL50" s="137"/>
      <c r="IM50" s="137"/>
      <c r="IN50" s="137"/>
      <c r="IO50" s="137"/>
      <c r="IP50" s="137"/>
      <c r="IQ50" s="137"/>
      <c r="IR50" s="137"/>
      <c r="IS50" s="137"/>
      <c r="IT50" s="137"/>
      <c r="IU50" s="137"/>
      <c r="IV50" s="137"/>
    </row>
    <row r="51" spans="1:256" ht="13.5" thickBot="1">
      <c r="A51" s="179"/>
      <c r="B51" s="187"/>
      <c r="C51" s="188"/>
      <c r="D51" s="189"/>
      <c r="E51" s="189">
        <v>4118</v>
      </c>
      <c r="F51" s="183" t="s">
        <v>113</v>
      </c>
      <c r="G51" s="184" t="s">
        <v>114</v>
      </c>
      <c r="H51" s="190">
        <v>0</v>
      </c>
      <c r="I51" s="1">
        <v>492.69489</v>
      </c>
      <c r="J51" s="186"/>
      <c r="K51" s="43">
        <f>I51+J51</f>
        <v>492.69489</v>
      </c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7"/>
      <c r="DU51" s="137"/>
      <c r="DV51" s="137"/>
      <c r="DW51" s="137"/>
      <c r="DX51" s="137"/>
      <c r="DY51" s="137"/>
      <c r="DZ51" s="137"/>
      <c r="EA51" s="137"/>
      <c r="EB51" s="137"/>
      <c r="EC51" s="137"/>
      <c r="ED51" s="137"/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7"/>
      <c r="ES51" s="137"/>
      <c r="ET51" s="137"/>
      <c r="EU51" s="137"/>
      <c r="EV51" s="137"/>
      <c r="EW51" s="137"/>
      <c r="EX51" s="137"/>
      <c r="EY51" s="137"/>
      <c r="EZ51" s="137"/>
      <c r="FA51" s="137"/>
      <c r="FB51" s="137"/>
      <c r="FC51" s="137"/>
      <c r="FD51" s="137"/>
      <c r="FE51" s="137"/>
      <c r="FF51" s="137"/>
      <c r="FG51" s="137"/>
      <c r="FH51" s="137"/>
      <c r="FI51" s="137"/>
      <c r="FJ51" s="137"/>
      <c r="FK51" s="137"/>
      <c r="FL51" s="137"/>
      <c r="FM51" s="137"/>
      <c r="FN51" s="137"/>
      <c r="FO51" s="137"/>
      <c r="FP51" s="137"/>
      <c r="FQ51" s="137"/>
      <c r="FR51" s="137"/>
      <c r="FS51" s="137"/>
      <c r="FT51" s="137"/>
      <c r="FU51" s="137"/>
      <c r="FV51" s="137"/>
      <c r="FW51" s="137"/>
      <c r="FX51" s="137"/>
      <c r="FY51" s="137"/>
      <c r="FZ51" s="137"/>
      <c r="GA51" s="137"/>
      <c r="GB51" s="137"/>
      <c r="GC51" s="137"/>
      <c r="GD51" s="137"/>
      <c r="GE51" s="137"/>
      <c r="GF51" s="137"/>
      <c r="GG51" s="137"/>
      <c r="GH51" s="137"/>
      <c r="GI51" s="137"/>
      <c r="GJ51" s="137"/>
      <c r="GK51" s="137"/>
      <c r="GL51" s="137"/>
      <c r="GM51" s="137"/>
      <c r="GN51" s="137"/>
      <c r="GO51" s="137"/>
      <c r="GP51" s="137"/>
      <c r="GQ51" s="137"/>
      <c r="GR51" s="137"/>
      <c r="GS51" s="137"/>
      <c r="GT51" s="137"/>
      <c r="GU51" s="137"/>
      <c r="GV51" s="137"/>
      <c r="GW51" s="137"/>
      <c r="GX51" s="137"/>
      <c r="GY51" s="137"/>
      <c r="GZ51" s="137"/>
      <c r="HA51" s="137"/>
      <c r="HB51" s="137"/>
      <c r="HC51" s="137"/>
      <c r="HD51" s="137"/>
      <c r="HE51" s="137"/>
      <c r="HF51" s="137"/>
      <c r="HG51" s="137"/>
      <c r="HH51" s="137"/>
      <c r="HI51" s="137"/>
      <c r="HJ51" s="137"/>
      <c r="HK51" s="137"/>
      <c r="HL51" s="137"/>
      <c r="HM51" s="137"/>
      <c r="HN51" s="137"/>
      <c r="HO51" s="137"/>
      <c r="HP51" s="137"/>
      <c r="HQ51" s="137"/>
      <c r="HR51" s="137"/>
      <c r="HS51" s="137"/>
      <c r="HT51" s="137"/>
      <c r="HU51" s="137"/>
      <c r="HV51" s="137"/>
      <c r="HW51" s="137"/>
      <c r="HX51" s="137"/>
      <c r="HY51" s="137"/>
      <c r="HZ51" s="137"/>
      <c r="IA51" s="137"/>
      <c r="IB51" s="137"/>
      <c r="IC51" s="137"/>
      <c r="ID51" s="137"/>
      <c r="IE51" s="137"/>
      <c r="IF51" s="137"/>
      <c r="IG51" s="137"/>
      <c r="IH51" s="137"/>
      <c r="II51" s="137"/>
      <c r="IJ51" s="137"/>
      <c r="IK51" s="137"/>
      <c r="IL51" s="137"/>
      <c r="IM51" s="137"/>
      <c r="IN51" s="137"/>
      <c r="IO51" s="137"/>
      <c r="IP51" s="137"/>
      <c r="IQ51" s="137"/>
      <c r="IR51" s="137"/>
      <c r="IS51" s="137"/>
      <c r="IT51" s="137"/>
      <c r="IU51" s="137"/>
      <c r="IV51" s="137"/>
    </row>
    <row r="52" spans="1:256" ht="12.75">
      <c r="A52" s="121" t="s">
        <v>95</v>
      </c>
      <c r="B52" s="175" t="s">
        <v>27</v>
      </c>
      <c r="C52" s="176" t="s">
        <v>133</v>
      </c>
      <c r="D52" s="124" t="s">
        <v>3</v>
      </c>
      <c r="E52" s="124" t="s">
        <v>3</v>
      </c>
      <c r="F52" s="122" t="s">
        <v>3</v>
      </c>
      <c r="G52" s="177" t="s">
        <v>134</v>
      </c>
      <c r="H52" s="178">
        <f>SUM(H53:H53)</f>
        <v>0</v>
      </c>
      <c r="I52" s="127">
        <f>SUM(I53:I53)</f>
        <v>180.49751</v>
      </c>
      <c r="J52" s="127">
        <f>SUM(J53:J53)</f>
        <v>0</v>
      </c>
      <c r="K52" s="126">
        <f>SUM(K53:K53)</f>
        <v>180.49751</v>
      </c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7"/>
      <c r="DT52" s="137"/>
      <c r="DU52" s="137"/>
      <c r="DV52" s="137"/>
      <c r="DW52" s="137"/>
      <c r="DX52" s="137"/>
      <c r="DY52" s="137"/>
      <c r="DZ52" s="137"/>
      <c r="EA52" s="137"/>
      <c r="EB52" s="137"/>
      <c r="EC52" s="137"/>
      <c r="ED52" s="137"/>
      <c r="EE52" s="137"/>
      <c r="EF52" s="137"/>
      <c r="EG52" s="137"/>
      <c r="EH52" s="137"/>
      <c r="EI52" s="137"/>
      <c r="EJ52" s="137"/>
      <c r="EK52" s="137"/>
      <c r="EL52" s="137"/>
      <c r="EM52" s="137"/>
      <c r="EN52" s="137"/>
      <c r="EO52" s="137"/>
      <c r="EP52" s="137"/>
      <c r="EQ52" s="137"/>
      <c r="ER52" s="137"/>
      <c r="ES52" s="137"/>
      <c r="ET52" s="137"/>
      <c r="EU52" s="137"/>
      <c r="EV52" s="137"/>
      <c r="EW52" s="137"/>
      <c r="EX52" s="137"/>
      <c r="EY52" s="137"/>
      <c r="EZ52" s="137"/>
      <c r="FA52" s="137"/>
      <c r="FB52" s="137"/>
      <c r="FC52" s="137"/>
      <c r="FD52" s="137"/>
      <c r="FE52" s="137"/>
      <c r="FF52" s="137"/>
      <c r="FG52" s="137"/>
      <c r="FH52" s="137"/>
      <c r="FI52" s="137"/>
      <c r="FJ52" s="137"/>
      <c r="FK52" s="137"/>
      <c r="FL52" s="137"/>
      <c r="FM52" s="137"/>
      <c r="FN52" s="137"/>
      <c r="FO52" s="137"/>
      <c r="FP52" s="137"/>
      <c r="FQ52" s="137"/>
      <c r="FR52" s="137"/>
      <c r="FS52" s="137"/>
      <c r="FT52" s="137"/>
      <c r="FU52" s="137"/>
      <c r="FV52" s="137"/>
      <c r="FW52" s="137"/>
      <c r="FX52" s="137"/>
      <c r="FY52" s="137"/>
      <c r="FZ52" s="137"/>
      <c r="GA52" s="137"/>
      <c r="GB52" s="137"/>
      <c r="GC52" s="137"/>
      <c r="GD52" s="137"/>
      <c r="GE52" s="137"/>
      <c r="GF52" s="137"/>
      <c r="GG52" s="137"/>
      <c r="GH52" s="137"/>
      <c r="GI52" s="137"/>
      <c r="GJ52" s="137"/>
      <c r="GK52" s="137"/>
      <c r="GL52" s="137"/>
      <c r="GM52" s="137"/>
      <c r="GN52" s="137"/>
      <c r="GO52" s="137"/>
      <c r="GP52" s="137"/>
      <c r="GQ52" s="137"/>
      <c r="GR52" s="137"/>
      <c r="GS52" s="137"/>
      <c r="GT52" s="137"/>
      <c r="GU52" s="137"/>
      <c r="GV52" s="137"/>
      <c r="GW52" s="137"/>
      <c r="GX52" s="137"/>
      <c r="GY52" s="137"/>
      <c r="GZ52" s="137"/>
      <c r="HA52" s="137"/>
      <c r="HB52" s="137"/>
      <c r="HC52" s="137"/>
      <c r="HD52" s="137"/>
      <c r="HE52" s="137"/>
      <c r="HF52" s="137"/>
      <c r="HG52" s="137"/>
      <c r="HH52" s="137"/>
      <c r="HI52" s="137"/>
      <c r="HJ52" s="137"/>
      <c r="HK52" s="137"/>
      <c r="HL52" s="137"/>
      <c r="HM52" s="137"/>
      <c r="HN52" s="137"/>
      <c r="HO52" s="137"/>
      <c r="HP52" s="137"/>
      <c r="HQ52" s="137"/>
      <c r="HR52" s="137"/>
      <c r="HS52" s="137"/>
      <c r="HT52" s="137"/>
      <c r="HU52" s="137"/>
      <c r="HV52" s="137"/>
      <c r="HW52" s="137"/>
      <c r="HX52" s="137"/>
      <c r="HY52" s="137"/>
      <c r="HZ52" s="137"/>
      <c r="IA52" s="137"/>
      <c r="IB52" s="137"/>
      <c r="IC52" s="137"/>
      <c r="ID52" s="137"/>
      <c r="IE52" s="137"/>
      <c r="IF52" s="137"/>
      <c r="IG52" s="137"/>
      <c r="IH52" s="137"/>
      <c r="II52" s="137"/>
      <c r="IJ52" s="137"/>
      <c r="IK52" s="137"/>
      <c r="IL52" s="137"/>
      <c r="IM52" s="137"/>
      <c r="IN52" s="137"/>
      <c r="IO52" s="137"/>
      <c r="IP52" s="137"/>
      <c r="IQ52" s="137"/>
      <c r="IR52" s="137"/>
      <c r="IS52" s="137"/>
      <c r="IT52" s="137"/>
      <c r="IU52" s="137"/>
      <c r="IV52" s="137"/>
    </row>
    <row r="53" spans="1:256" ht="13.5" thickBot="1">
      <c r="A53" s="179"/>
      <c r="B53" s="180"/>
      <c r="C53" s="181"/>
      <c r="D53" s="182"/>
      <c r="E53" s="182">
        <v>4118</v>
      </c>
      <c r="F53" s="183" t="s">
        <v>113</v>
      </c>
      <c r="G53" s="184" t="s">
        <v>114</v>
      </c>
      <c r="H53" s="185">
        <v>0</v>
      </c>
      <c r="I53" s="1">
        <v>180.49751</v>
      </c>
      <c r="J53" s="186"/>
      <c r="K53" s="42">
        <f>I53+J53</f>
        <v>180.49751</v>
      </c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7"/>
      <c r="DS53" s="137"/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137"/>
      <c r="EF53" s="137"/>
      <c r="EG53" s="137"/>
      <c r="EH53" s="137"/>
      <c r="EI53" s="137"/>
      <c r="EJ53" s="137"/>
      <c r="EK53" s="137"/>
      <c r="EL53" s="137"/>
      <c r="EM53" s="137"/>
      <c r="EN53" s="137"/>
      <c r="EO53" s="137"/>
      <c r="EP53" s="137"/>
      <c r="EQ53" s="137"/>
      <c r="ER53" s="137"/>
      <c r="ES53" s="137"/>
      <c r="ET53" s="137"/>
      <c r="EU53" s="137"/>
      <c r="EV53" s="137"/>
      <c r="EW53" s="137"/>
      <c r="EX53" s="137"/>
      <c r="EY53" s="137"/>
      <c r="EZ53" s="137"/>
      <c r="FA53" s="137"/>
      <c r="FB53" s="137"/>
      <c r="FC53" s="137"/>
      <c r="FD53" s="137"/>
      <c r="FE53" s="137"/>
      <c r="FF53" s="137"/>
      <c r="FG53" s="137"/>
      <c r="FH53" s="137"/>
      <c r="FI53" s="137"/>
      <c r="FJ53" s="137"/>
      <c r="FK53" s="137"/>
      <c r="FL53" s="137"/>
      <c r="FM53" s="137"/>
      <c r="FN53" s="137"/>
      <c r="FO53" s="137"/>
      <c r="FP53" s="137"/>
      <c r="FQ53" s="137"/>
      <c r="FR53" s="137"/>
      <c r="FS53" s="137"/>
      <c r="FT53" s="137"/>
      <c r="FU53" s="137"/>
      <c r="FV53" s="137"/>
      <c r="FW53" s="137"/>
      <c r="FX53" s="137"/>
      <c r="FY53" s="137"/>
      <c r="FZ53" s="137"/>
      <c r="GA53" s="137"/>
      <c r="GB53" s="137"/>
      <c r="GC53" s="137"/>
      <c r="GD53" s="137"/>
      <c r="GE53" s="137"/>
      <c r="GF53" s="137"/>
      <c r="GG53" s="137"/>
      <c r="GH53" s="137"/>
      <c r="GI53" s="137"/>
      <c r="GJ53" s="137"/>
      <c r="GK53" s="137"/>
      <c r="GL53" s="137"/>
      <c r="GM53" s="137"/>
      <c r="GN53" s="137"/>
      <c r="GO53" s="137"/>
      <c r="GP53" s="137"/>
      <c r="GQ53" s="137"/>
      <c r="GR53" s="137"/>
      <c r="GS53" s="137"/>
      <c r="GT53" s="137"/>
      <c r="GU53" s="137"/>
      <c r="GV53" s="137"/>
      <c r="GW53" s="137"/>
      <c r="GX53" s="137"/>
      <c r="GY53" s="137"/>
      <c r="GZ53" s="137"/>
      <c r="HA53" s="137"/>
      <c r="HB53" s="137"/>
      <c r="HC53" s="137"/>
      <c r="HD53" s="137"/>
      <c r="HE53" s="137"/>
      <c r="HF53" s="137"/>
      <c r="HG53" s="137"/>
      <c r="HH53" s="137"/>
      <c r="HI53" s="137"/>
      <c r="HJ53" s="137"/>
      <c r="HK53" s="137"/>
      <c r="HL53" s="137"/>
      <c r="HM53" s="137"/>
      <c r="HN53" s="137"/>
      <c r="HO53" s="137"/>
      <c r="HP53" s="137"/>
      <c r="HQ53" s="137"/>
      <c r="HR53" s="137"/>
      <c r="HS53" s="137"/>
      <c r="HT53" s="137"/>
      <c r="HU53" s="137"/>
      <c r="HV53" s="137"/>
      <c r="HW53" s="137"/>
      <c r="HX53" s="137"/>
      <c r="HY53" s="137"/>
      <c r="HZ53" s="137"/>
      <c r="IA53" s="137"/>
      <c r="IB53" s="137"/>
      <c r="IC53" s="137"/>
      <c r="ID53" s="137"/>
      <c r="IE53" s="137"/>
      <c r="IF53" s="137"/>
      <c r="IG53" s="137"/>
      <c r="IH53" s="137"/>
      <c r="II53" s="137"/>
      <c r="IJ53" s="137"/>
      <c r="IK53" s="137"/>
      <c r="IL53" s="137"/>
      <c r="IM53" s="137"/>
      <c r="IN53" s="137"/>
      <c r="IO53" s="137"/>
      <c r="IP53" s="137"/>
      <c r="IQ53" s="137"/>
      <c r="IR53" s="137"/>
      <c r="IS53" s="137"/>
      <c r="IT53" s="137"/>
      <c r="IU53" s="137"/>
      <c r="IV53" s="137"/>
    </row>
    <row r="54" spans="1:256" ht="12.75">
      <c r="A54" s="121" t="s">
        <v>95</v>
      </c>
      <c r="B54" s="175" t="s">
        <v>27</v>
      </c>
      <c r="C54" s="176" t="s">
        <v>135</v>
      </c>
      <c r="D54" s="124" t="s">
        <v>3</v>
      </c>
      <c r="E54" s="124" t="s">
        <v>3</v>
      </c>
      <c r="F54" s="122" t="s">
        <v>3</v>
      </c>
      <c r="G54" s="177" t="s">
        <v>136</v>
      </c>
      <c r="H54" s="178">
        <f>SUM(H55:H55)</f>
        <v>0</v>
      </c>
      <c r="I54" s="127">
        <f>SUM(I55:I55)</f>
        <v>543.503</v>
      </c>
      <c r="J54" s="127">
        <f>SUM(J55:J55)</f>
        <v>0</v>
      </c>
      <c r="K54" s="126">
        <f>SUM(K55:K55)</f>
        <v>543.503</v>
      </c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7"/>
      <c r="DS54" s="137"/>
      <c r="DT54" s="137"/>
      <c r="DU54" s="137"/>
      <c r="DV54" s="137"/>
      <c r="DW54" s="137"/>
      <c r="DX54" s="137"/>
      <c r="DY54" s="137"/>
      <c r="DZ54" s="137"/>
      <c r="EA54" s="137"/>
      <c r="EB54" s="137"/>
      <c r="EC54" s="137"/>
      <c r="ED54" s="137"/>
      <c r="EE54" s="137"/>
      <c r="EF54" s="137"/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7"/>
      <c r="ES54" s="137"/>
      <c r="ET54" s="137"/>
      <c r="EU54" s="137"/>
      <c r="EV54" s="137"/>
      <c r="EW54" s="137"/>
      <c r="EX54" s="137"/>
      <c r="EY54" s="137"/>
      <c r="EZ54" s="137"/>
      <c r="FA54" s="137"/>
      <c r="FB54" s="137"/>
      <c r="FC54" s="137"/>
      <c r="FD54" s="137"/>
      <c r="FE54" s="137"/>
      <c r="FF54" s="137"/>
      <c r="FG54" s="137"/>
      <c r="FH54" s="137"/>
      <c r="FI54" s="137"/>
      <c r="FJ54" s="137"/>
      <c r="FK54" s="137"/>
      <c r="FL54" s="137"/>
      <c r="FM54" s="137"/>
      <c r="FN54" s="137"/>
      <c r="FO54" s="137"/>
      <c r="FP54" s="137"/>
      <c r="FQ54" s="137"/>
      <c r="FR54" s="137"/>
      <c r="FS54" s="137"/>
      <c r="FT54" s="137"/>
      <c r="FU54" s="137"/>
      <c r="FV54" s="137"/>
      <c r="FW54" s="137"/>
      <c r="FX54" s="137"/>
      <c r="FY54" s="137"/>
      <c r="FZ54" s="137"/>
      <c r="GA54" s="137"/>
      <c r="GB54" s="137"/>
      <c r="GC54" s="137"/>
      <c r="GD54" s="137"/>
      <c r="GE54" s="137"/>
      <c r="GF54" s="137"/>
      <c r="GG54" s="137"/>
      <c r="GH54" s="137"/>
      <c r="GI54" s="137"/>
      <c r="GJ54" s="137"/>
      <c r="GK54" s="137"/>
      <c r="GL54" s="137"/>
      <c r="GM54" s="137"/>
      <c r="GN54" s="137"/>
      <c r="GO54" s="137"/>
      <c r="GP54" s="137"/>
      <c r="GQ54" s="137"/>
      <c r="GR54" s="137"/>
      <c r="GS54" s="137"/>
      <c r="GT54" s="137"/>
      <c r="GU54" s="137"/>
      <c r="GV54" s="137"/>
      <c r="GW54" s="137"/>
      <c r="GX54" s="137"/>
      <c r="GY54" s="137"/>
      <c r="GZ54" s="137"/>
      <c r="HA54" s="137"/>
      <c r="HB54" s="137"/>
      <c r="HC54" s="137"/>
      <c r="HD54" s="137"/>
      <c r="HE54" s="137"/>
      <c r="HF54" s="137"/>
      <c r="HG54" s="137"/>
      <c r="HH54" s="137"/>
      <c r="HI54" s="137"/>
      <c r="HJ54" s="137"/>
      <c r="HK54" s="137"/>
      <c r="HL54" s="137"/>
      <c r="HM54" s="137"/>
      <c r="HN54" s="137"/>
      <c r="HO54" s="137"/>
      <c r="HP54" s="137"/>
      <c r="HQ54" s="137"/>
      <c r="HR54" s="137"/>
      <c r="HS54" s="137"/>
      <c r="HT54" s="137"/>
      <c r="HU54" s="137"/>
      <c r="HV54" s="137"/>
      <c r="HW54" s="137"/>
      <c r="HX54" s="137"/>
      <c r="HY54" s="137"/>
      <c r="HZ54" s="137"/>
      <c r="IA54" s="137"/>
      <c r="IB54" s="137"/>
      <c r="IC54" s="137"/>
      <c r="ID54" s="137"/>
      <c r="IE54" s="137"/>
      <c r="IF54" s="137"/>
      <c r="IG54" s="137"/>
      <c r="IH54" s="137"/>
      <c r="II54" s="137"/>
      <c r="IJ54" s="137"/>
      <c r="IK54" s="137"/>
      <c r="IL54" s="137"/>
      <c r="IM54" s="137"/>
      <c r="IN54" s="137"/>
      <c r="IO54" s="137"/>
      <c r="IP54" s="137"/>
      <c r="IQ54" s="137"/>
      <c r="IR54" s="137"/>
      <c r="IS54" s="137"/>
      <c r="IT54" s="137"/>
      <c r="IU54" s="137"/>
      <c r="IV54" s="137"/>
    </row>
    <row r="55" spans="1:256" ht="13.5" thickBot="1">
      <c r="A55" s="179"/>
      <c r="B55" s="180"/>
      <c r="C55" s="181"/>
      <c r="D55" s="182"/>
      <c r="E55" s="182">
        <v>4118</v>
      </c>
      <c r="F55" s="183" t="s">
        <v>113</v>
      </c>
      <c r="G55" s="184" t="s">
        <v>114</v>
      </c>
      <c r="H55" s="185">
        <v>0</v>
      </c>
      <c r="I55" s="1">
        <v>543.503</v>
      </c>
      <c r="J55" s="186"/>
      <c r="K55" s="42">
        <f>I55+J55</f>
        <v>543.503</v>
      </c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7"/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7"/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7"/>
      <c r="FF55" s="137"/>
      <c r="FG55" s="137"/>
      <c r="FH55" s="137"/>
      <c r="FI55" s="137"/>
      <c r="FJ55" s="137"/>
      <c r="FK55" s="137"/>
      <c r="FL55" s="137"/>
      <c r="FM55" s="137"/>
      <c r="FN55" s="137"/>
      <c r="FO55" s="137"/>
      <c r="FP55" s="137"/>
      <c r="FQ55" s="137"/>
      <c r="FR55" s="137"/>
      <c r="FS55" s="137"/>
      <c r="FT55" s="137"/>
      <c r="FU55" s="137"/>
      <c r="FV55" s="137"/>
      <c r="FW55" s="137"/>
      <c r="FX55" s="137"/>
      <c r="FY55" s="137"/>
      <c r="FZ55" s="137"/>
      <c r="GA55" s="137"/>
      <c r="GB55" s="137"/>
      <c r="GC55" s="137"/>
      <c r="GD55" s="137"/>
      <c r="GE55" s="137"/>
      <c r="GF55" s="137"/>
      <c r="GG55" s="137"/>
      <c r="GH55" s="137"/>
      <c r="GI55" s="137"/>
      <c r="GJ55" s="137"/>
      <c r="GK55" s="137"/>
      <c r="GL55" s="137"/>
      <c r="GM55" s="137"/>
      <c r="GN55" s="137"/>
      <c r="GO55" s="137"/>
      <c r="GP55" s="137"/>
      <c r="GQ55" s="137"/>
      <c r="GR55" s="137"/>
      <c r="GS55" s="137"/>
      <c r="GT55" s="137"/>
      <c r="GU55" s="137"/>
      <c r="GV55" s="137"/>
      <c r="GW55" s="137"/>
      <c r="GX55" s="137"/>
      <c r="GY55" s="137"/>
      <c r="GZ55" s="137"/>
      <c r="HA55" s="137"/>
      <c r="HB55" s="137"/>
      <c r="HC55" s="137"/>
      <c r="HD55" s="137"/>
      <c r="HE55" s="137"/>
      <c r="HF55" s="137"/>
      <c r="HG55" s="137"/>
      <c r="HH55" s="137"/>
      <c r="HI55" s="137"/>
      <c r="HJ55" s="137"/>
      <c r="HK55" s="137"/>
      <c r="HL55" s="137"/>
      <c r="HM55" s="137"/>
      <c r="HN55" s="137"/>
      <c r="HO55" s="137"/>
      <c r="HP55" s="137"/>
      <c r="HQ55" s="137"/>
      <c r="HR55" s="137"/>
      <c r="HS55" s="137"/>
      <c r="HT55" s="137"/>
      <c r="HU55" s="137"/>
      <c r="HV55" s="137"/>
      <c r="HW55" s="137"/>
      <c r="HX55" s="137"/>
      <c r="HY55" s="137"/>
      <c r="HZ55" s="137"/>
      <c r="IA55" s="137"/>
      <c r="IB55" s="137"/>
      <c r="IC55" s="137"/>
      <c r="ID55" s="137"/>
      <c r="IE55" s="137"/>
      <c r="IF55" s="137"/>
      <c r="IG55" s="137"/>
      <c r="IH55" s="137"/>
      <c r="II55" s="137"/>
      <c r="IJ55" s="137"/>
      <c r="IK55" s="137"/>
      <c r="IL55" s="137"/>
      <c r="IM55" s="137"/>
      <c r="IN55" s="137"/>
      <c r="IO55" s="137"/>
      <c r="IP55" s="137"/>
      <c r="IQ55" s="137"/>
      <c r="IR55" s="137"/>
      <c r="IS55" s="137"/>
      <c r="IT55" s="137"/>
      <c r="IU55" s="137"/>
      <c r="IV55" s="137"/>
    </row>
    <row r="56" spans="1:256" ht="12.75">
      <c r="A56" s="121" t="s">
        <v>95</v>
      </c>
      <c r="B56" s="175" t="s">
        <v>27</v>
      </c>
      <c r="C56" s="176" t="s">
        <v>137</v>
      </c>
      <c r="D56" s="124" t="s">
        <v>3</v>
      </c>
      <c r="E56" s="124" t="s">
        <v>3</v>
      </c>
      <c r="F56" s="122" t="s">
        <v>3</v>
      </c>
      <c r="G56" s="177" t="s">
        <v>138</v>
      </c>
      <c r="H56" s="178">
        <f>SUM(H57:H57)</f>
        <v>0</v>
      </c>
      <c r="I56" s="127">
        <f>SUM(I57:I57)</f>
        <v>397.14779</v>
      </c>
      <c r="J56" s="127">
        <f>SUM(J57:J57)</f>
        <v>0</v>
      </c>
      <c r="K56" s="126">
        <f>SUM(K57:K57)</f>
        <v>397.14779</v>
      </c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  <c r="DT56" s="137"/>
      <c r="DU56" s="137"/>
      <c r="DV56" s="137"/>
      <c r="DW56" s="137"/>
      <c r="DX56" s="137"/>
      <c r="DY56" s="137"/>
      <c r="DZ56" s="137"/>
      <c r="EA56" s="137"/>
      <c r="EB56" s="137"/>
      <c r="EC56" s="137"/>
      <c r="ED56" s="137"/>
      <c r="EE56" s="137"/>
      <c r="EF56" s="137"/>
      <c r="EG56" s="137"/>
      <c r="EH56" s="137"/>
      <c r="EI56" s="137"/>
      <c r="EJ56" s="137"/>
      <c r="EK56" s="137"/>
      <c r="EL56" s="137"/>
      <c r="EM56" s="137"/>
      <c r="EN56" s="137"/>
      <c r="EO56" s="137"/>
      <c r="EP56" s="137"/>
      <c r="EQ56" s="137"/>
      <c r="ER56" s="137"/>
      <c r="ES56" s="137"/>
      <c r="ET56" s="137"/>
      <c r="EU56" s="137"/>
      <c r="EV56" s="137"/>
      <c r="EW56" s="137"/>
      <c r="EX56" s="137"/>
      <c r="EY56" s="137"/>
      <c r="EZ56" s="137"/>
      <c r="FA56" s="137"/>
      <c r="FB56" s="137"/>
      <c r="FC56" s="137"/>
      <c r="FD56" s="137"/>
      <c r="FE56" s="137"/>
      <c r="FF56" s="137"/>
      <c r="FG56" s="137"/>
      <c r="FH56" s="137"/>
      <c r="FI56" s="137"/>
      <c r="FJ56" s="137"/>
      <c r="FK56" s="137"/>
      <c r="FL56" s="137"/>
      <c r="FM56" s="137"/>
      <c r="FN56" s="137"/>
      <c r="FO56" s="137"/>
      <c r="FP56" s="137"/>
      <c r="FQ56" s="137"/>
      <c r="FR56" s="137"/>
      <c r="FS56" s="137"/>
      <c r="FT56" s="137"/>
      <c r="FU56" s="137"/>
      <c r="FV56" s="137"/>
      <c r="FW56" s="137"/>
      <c r="FX56" s="137"/>
      <c r="FY56" s="137"/>
      <c r="FZ56" s="137"/>
      <c r="GA56" s="137"/>
      <c r="GB56" s="137"/>
      <c r="GC56" s="137"/>
      <c r="GD56" s="137"/>
      <c r="GE56" s="137"/>
      <c r="GF56" s="137"/>
      <c r="GG56" s="137"/>
      <c r="GH56" s="137"/>
      <c r="GI56" s="137"/>
      <c r="GJ56" s="137"/>
      <c r="GK56" s="137"/>
      <c r="GL56" s="137"/>
      <c r="GM56" s="137"/>
      <c r="GN56" s="137"/>
      <c r="GO56" s="137"/>
      <c r="GP56" s="137"/>
      <c r="GQ56" s="137"/>
      <c r="GR56" s="137"/>
      <c r="GS56" s="137"/>
      <c r="GT56" s="137"/>
      <c r="GU56" s="137"/>
      <c r="GV56" s="137"/>
      <c r="GW56" s="137"/>
      <c r="GX56" s="137"/>
      <c r="GY56" s="137"/>
      <c r="GZ56" s="137"/>
      <c r="HA56" s="137"/>
      <c r="HB56" s="137"/>
      <c r="HC56" s="137"/>
      <c r="HD56" s="137"/>
      <c r="HE56" s="137"/>
      <c r="HF56" s="137"/>
      <c r="HG56" s="137"/>
      <c r="HH56" s="137"/>
      <c r="HI56" s="137"/>
      <c r="HJ56" s="137"/>
      <c r="HK56" s="137"/>
      <c r="HL56" s="137"/>
      <c r="HM56" s="137"/>
      <c r="HN56" s="137"/>
      <c r="HO56" s="137"/>
      <c r="HP56" s="137"/>
      <c r="HQ56" s="137"/>
      <c r="HR56" s="137"/>
      <c r="HS56" s="137"/>
      <c r="HT56" s="137"/>
      <c r="HU56" s="137"/>
      <c r="HV56" s="137"/>
      <c r="HW56" s="137"/>
      <c r="HX56" s="137"/>
      <c r="HY56" s="137"/>
      <c r="HZ56" s="137"/>
      <c r="IA56" s="137"/>
      <c r="IB56" s="137"/>
      <c r="IC56" s="137"/>
      <c r="ID56" s="137"/>
      <c r="IE56" s="137"/>
      <c r="IF56" s="137"/>
      <c r="IG56" s="137"/>
      <c r="IH56" s="137"/>
      <c r="II56" s="137"/>
      <c r="IJ56" s="137"/>
      <c r="IK56" s="137"/>
      <c r="IL56" s="137"/>
      <c r="IM56" s="137"/>
      <c r="IN56" s="137"/>
      <c r="IO56" s="137"/>
      <c r="IP56" s="137"/>
      <c r="IQ56" s="137"/>
      <c r="IR56" s="137"/>
      <c r="IS56" s="137"/>
      <c r="IT56" s="137"/>
      <c r="IU56" s="137"/>
      <c r="IV56" s="137"/>
    </row>
    <row r="57" spans="1:256" ht="13.5" thickBot="1">
      <c r="A57" s="179"/>
      <c r="B57" s="180"/>
      <c r="C57" s="191"/>
      <c r="D57" s="192"/>
      <c r="E57" s="192">
        <v>4118</v>
      </c>
      <c r="F57" s="193" t="s">
        <v>113</v>
      </c>
      <c r="G57" s="194" t="s">
        <v>114</v>
      </c>
      <c r="H57" s="185">
        <v>0</v>
      </c>
      <c r="I57" s="352">
        <v>397.14779</v>
      </c>
      <c r="J57" s="195"/>
      <c r="K57" s="120">
        <f>I57+J57</f>
        <v>397.14779</v>
      </c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  <c r="DT57" s="137"/>
      <c r="DU57" s="137"/>
      <c r="DV57" s="137"/>
      <c r="DW57" s="137"/>
      <c r="DX57" s="137"/>
      <c r="DY57" s="137"/>
      <c r="DZ57" s="137"/>
      <c r="EA57" s="137"/>
      <c r="EB57" s="137"/>
      <c r="EC57" s="137"/>
      <c r="ED57" s="137"/>
      <c r="EE57" s="137"/>
      <c r="EF57" s="137"/>
      <c r="EG57" s="137"/>
      <c r="EH57" s="137"/>
      <c r="EI57" s="137"/>
      <c r="EJ57" s="137"/>
      <c r="EK57" s="137"/>
      <c r="EL57" s="137"/>
      <c r="EM57" s="137"/>
      <c r="EN57" s="137"/>
      <c r="EO57" s="137"/>
      <c r="EP57" s="137"/>
      <c r="EQ57" s="137"/>
      <c r="ER57" s="137"/>
      <c r="ES57" s="137"/>
      <c r="ET57" s="137"/>
      <c r="EU57" s="137"/>
      <c r="EV57" s="137"/>
      <c r="EW57" s="137"/>
      <c r="EX57" s="137"/>
      <c r="EY57" s="137"/>
      <c r="EZ57" s="137"/>
      <c r="FA57" s="137"/>
      <c r="FB57" s="137"/>
      <c r="FC57" s="137"/>
      <c r="FD57" s="137"/>
      <c r="FE57" s="137"/>
      <c r="FF57" s="137"/>
      <c r="FG57" s="137"/>
      <c r="FH57" s="137"/>
      <c r="FI57" s="137"/>
      <c r="FJ57" s="137"/>
      <c r="FK57" s="137"/>
      <c r="FL57" s="137"/>
      <c r="FM57" s="137"/>
      <c r="FN57" s="137"/>
      <c r="FO57" s="137"/>
      <c r="FP57" s="137"/>
      <c r="FQ57" s="137"/>
      <c r="FR57" s="137"/>
      <c r="FS57" s="137"/>
      <c r="FT57" s="137"/>
      <c r="FU57" s="137"/>
      <c r="FV57" s="137"/>
      <c r="FW57" s="137"/>
      <c r="FX57" s="137"/>
      <c r="FY57" s="137"/>
      <c r="FZ57" s="137"/>
      <c r="GA57" s="137"/>
      <c r="GB57" s="137"/>
      <c r="GC57" s="137"/>
      <c r="GD57" s="137"/>
      <c r="GE57" s="137"/>
      <c r="GF57" s="137"/>
      <c r="GG57" s="137"/>
      <c r="GH57" s="137"/>
      <c r="GI57" s="137"/>
      <c r="GJ57" s="137"/>
      <c r="GK57" s="137"/>
      <c r="GL57" s="137"/>
      <c r="GM57" s="137"/>
      <c r="GN57" s="137"/>
      <c r="GO57" s="137"/>
      <c r="GP57" s="137"/>
      <c r="GQ57" s="137"/>
      <c r="GR57" s="137"/>
      <c r="GS57" s="137"/>
      <c r="GT57" s="137"/>
      <c r="GU57" s="137"/>
      <c r="GV57" s="137"/>
      <c r="GW57" s="137"/>
      <c r="GX57" s="137"/>
      <c r="GY57" s="137"/>
      <c r="GZ57" s="137"/>
      <c r="HA57" s="137"/>
      <c r="HB57" s="137"/>
      <c r="HC57" s="137"/>
      <c r="HD57" s="137"/>
      <c r="HE57" s="137"/>
      <c r="HF57" s="137"/>
      <c r="HG57" s="137"/>
      <c r="HH57" s="137"/>
      <c r="HI57" s="137"/>
      <c r="HJ57" s="137"/>
      <c r="HK57" s="137"/>
      <c r="HL57" s="137"/>
      <c r="HM57" s="137"/>
      <c r="HN57" s="137"/>
      <c r="HO57" s="137"/>
      <c r="HP57" s="137"/>
      <c r="HQ57" s="137"/>
      <c r="HR57" s="137"/>
      <c r="HS57" s="137"/>
      <c r="HT57" s="137"/>
      <c r="HU57" s="137"/>
      <c r="HV57" s="137"/>
      <c r="HW57" s="137"/>
      <c r="HX57" s="137"/>
      <c r="HY57" s="137"/>
      <c r="HZ57" s="137"/>
      <c r="IA57" s="137"/>
      <c r="IB57" s="137"/>
      <c r="IC57" s="137"/>
      <c r="ID57" s="137"/>
      <c r="IE57" s="137"/>
      <c r="IF57" s="137"/>
      <c r="IG57" s="137"/>
      <c r="IH57" s="137"/>
      <c r="II57" s="137"/>
      <c r="IJ57" s="137"/>
      <c r="IK57" s="137"/>
      <c r="IL57" s="137"/>
      <c r="IM57" s="137"/>
      <c r="IN57" s="137"/>
      <c r="IO57" s="137"/>
      <c r="IP57" s="137"/>
      <c r="IQ57" s="137"/>
      <c r="IR57" s="137"/>
      <c r="IS57" s="137"/>
      <c r="IT57" s="137"/>
      <c r="IU57" s="137"/>
      <c r="IV57" s="137"/>
    </row>
    <row r="58" spans="1:256" ht="13.5" thickBot="1">
      <c r="A58" s="196" t="s">
        <v>85</v>
      </c>
      <c r="B58" s="197" t="s">
        <v>27</v>
      </c>
      <c r="C58" s="198" t="s">
        <v>3</v>
      </c>
      <c r="D58" s="199" t="s">
        <v>3</v>
      </c>
      <c r="E58" s="200">
        <v>4121</v>
      </c>
      <c r="F58" s="201"/>
      <c r="G58" s="202" t="s">
        <v>139</v>
      </c>
      <c r="H58" s="203">
        <v>24770</v>
      </c>
      <c r="I58" s="204">
        <v>24770</v>
      </c>
      <c r="J58" s="204"/>
      <c r="K58" s="205">
        <f>I58+J58</f>
        <v>24770</v>
      </c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58"/>
      <c r="IK58" s="58"/>
      <c r="IL58" s="58"/>
      <c r="IM58" s="58"/>
      <c r="IN58" s="58"/>
      <c r="IO58" s="58"/>
      <c r="IP58" s="58"/>
      <c r="IQ58" s="58"/>
      <c r="IR58" s="58"/>
      <c r="IS58" s="58"/>
      <c r="IT58" s="58"/>
      <c r="IU58" s="58"/>
      <c r="IV58" s="58"/>
    </row>
    <row r="59" spans="1:256" ht="13.5" thickBot="1">
      <c r="A59" s="59" t="s">
        <v>3</v>
      </c>
      <c r="B59" s="60" t="s">
        <v>5</v>
      </c>
      <c r="C59" s="61" t="s">
        <v>3</v>
      </c>
      <c r="D59" s="62" t="s">
        <v>3</v>
      </c>
      <c r="E59" s="62" t="s">
        <v>140</v>
      </c>
      <c r="F59" s="63"/>
      <c r="G59" s="64" t="s">
        <v>141</v>
      </c>
      <c r="H59" s="86">
        <f>H60+H62+H64+H66+H68+H70+H72+H74+H76+H78+H80+H82+H84+H86+H88</f>
        <v>0</v>
      </c>
      <c r="I59" s="206">
        <f>I60+I62+I64+I66+I68+I70+I72+I74+I76+I78+I80+I82+I84+I86+I88</f>
        <v>501000</v>
      </c>
      <c r="J59" s="206">
        <f>J60+J62+J64+J66+J68+J70+J72+J74+J76+J78+J80+J82+J84+J86+J88</f>
        <v>0</v>
      </c>
      <c r="K59" s="87">
        <f>K60+K62+K64+K66+K68+K70+K72+K74+K76+K78+K80+K82+K84+K86+K88</f>
        <v>501000</v>
      </c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  <c r="IG59" s="58"/>
      <c r="IH59" s="58"/>
      <c r="II59" s="58"/>
      <c r="IJ59" s="58"/>
      <c r="IK59" s="58"/>
      <c r="IL59" s="58"/>
      <c r="IM59" s="58"/>
      <c r="IN59" s="58"/>
      <c r="IO59" s="58"/>
      <c r="IP59" s="58"/>
      <c r="IQ59" s="58"/>
      <c r="IR59" s="58"/>
      <c r="IS59" s="58"/>
      <c r="IT59" s="58"/>
      <c r="IU59" s="58"/>
      <c r="IV59" s="58"/>
    </row>
    <row r="60" spans="1:256" ht="12.75">
      <c r="A60" s="160" t="s">
        <v>85</v>
      </c>
      <c r="B60" s="161" t="s">
        <v>5</v>
      </c>
      <c r="C60" s="162" t="s">
        <v>3</v>
      </c>
      <c r="D60" s="107" t="s">
        <v>3</v>
      </c>
      <c r="E60" s="107" t="s">
        <v>3</v>
      </c>
      <c r="F60" s="107" t="s">
        <v>3</v>
      </c>
      <c r="G60" s="163" t="s">
        <v>142</v>
      </c>
      <c r="H60" s="164">
        <f>SUM(H61:H61)</f>
        <v>0</v>
      </c>
      <c r="I60" s="166">
        <f>SUM(I61:I61)</f>
        <v>331000</v>
      </c>
      <c r="J60" s="166">
        <f>SUM(J61:J61)</f>
        <v>0</v>
      </c>
      <c r="K60" s="166">
        <f>SUM(K61:K61)</f>
        <v>331000</v>
      </c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7"/>
      <c r="DV60" s="137"/>
      <c r="DW60" s="137"/>
      <c r="DX60" s="137"/>
      <c r="DY60" s="137"/>
      <c r="DZ60" s="137"/>
      <c r="EA60" s="137"/>
      <c r="EB60" s="137"/>
      <c r="EC60" s="137"/>
      <c r="ED60" s="137"/>
      <c r="EE60" s="137"/>
      <c r="EF60" s="137"/>
      <c r="EG60" s="137"/>
      <c r="EH60" s="137"/>
      <c r="EI60" s="137"/>
      <c r="EJ60" s="137"/>
      <c r="EK60" s="137"/>
      <c r="EL60" s="137"/>
      <c r="EM60" s="137"/>
      <c r="EN60" s="137"/>
      <c r="EO60" s="137"/>
      <c r="EP60" s="137"/>
      <c r="EQ60" s="137"/>
      <c r="ER60" s="137"/>
      <c r="ES60" s="137"/>
      <c r="ET60" s="137"/>
      <c r="EU60" s="137"/>
      <c r="EV60" s="137"/>
      <c r="EW60" s="137"/>
      <c r="EX60" s="137"/>
      <c r="EY60" s="137"/>
      <c r="EZ60" s="137"/>
      <c r="FA60" s="137"/>
      <c r="FB60" s="137"/>
      <c r="FC60" s="137"/>
      <c r="FD60" s="137"/>
      <c r="FE60" s="137"/>
      <c r="FF60" s="137"/>
      <c r="FG60" s="137"/>
      <c r="FH60" s="137"/>
      <c r="FI60" s="137"/>
      <c r="FJ60" s="137"/>
      <c r="FK60" s="137"/>
      <c r="FL60" s="137"/>
      <c r="FM60" s="137"/>
      <c r="FN60" s="137"/>
      <c r="FO60" s="137"/>
      <c r="FP60" s="137"/>
      <c r="FQ60" s="137"/>
      <c r="FR60" s="137"/>
      <c r="FS60" s="137"/>
      <c r="FT60" s="137"/>
      <c r="FU60" s="137"/>
      <c r="FV60" s="137"/>
      <c r="FW60" s="137"/>
      <c r="FX60" s="137"/>
      <c r="FY60" s="137"/>
      <c r="FZ60" s="137"/>
      <c r="GA60" s="137"/>
      <c r="GB60" s="137"/>
      <c r="GC60" s="137"/>
      <c r="GD60" s="137"/>
      <c r="GE60" s="137"/>
      <c r="GF60" s="137"/>
      <c r="GG60" s="137"/>
      <c r="GH60" s="137"/>
      <c r="GI60" s="137"/>
      <c r="GJ60" s="137"/>
      <c r="GK60" s="137"/>
      <c r="GL60" s="137"/>
      <c r="GM60" s="137"/>
      <c r="GN60" s="137"/>
      <c r="GO60" s="137"/>
      <c r="GP60" s="137"/>
      <c r="GQ60" s="137"/>
      <c r="GR60" s="137"/>
      <c r="GS60" s="137"/>
      <c r="GT60" s="137"/>
      <c r="GU60" s="137"/>
      <c r="GV60" s="137"/>
      <c r="GW60" s="137"/>
      <c r="GX60" s="137"/>
      <c r="GY60" s="137"/>
      <c r="GZ60" s="137"/>
      <c r="HA60" s="137"/>
      <c r="HB60" s="137"/>
      <c r="HC60" s="137"/>
      <c r="HD60" s="137"/>
      <c r="HE60" s="137"/>
      <c r="HF60" s="137"/>
      <c r="HG60" s="137"/>
      <c r="HH60" s="137"/>
      <c r="HI60" s="137"/>
      <c r="HJ60" s="137"/>
      <c r="HK60" s="137"/>
      <c r="HL60" s="137"/>
      <c r="HM60" s="137"/>
      <c r="HN60" s="137"/>
      <c r="HO60" s="137"/>
      <c r="HP60" s="137"/>
      <c r="HQ60" s="137"/>
      <c r="HR60" s="137"/>
      <c r="HS60" s="137"/>
      <c r="HT60" s="137"/>
      <c r="HU60" s="137"/>
      <c r="HV60" s="137"/>
      <c r="HW60" s="137"/>
      <c r="HX60" s="137"/>
      <c r="HY60" s="137"/>
      <c r="HZ60" s="137"/>
      <c r="IA60" s="137"/>
      <c r="IB60" s="137"/>
      <c r="IC60" s="137"/>
      <c r="ID60" s="137"/>
      <c r="IE60" s="137"/>
      <c r="IF60" s="137"/>
      <c r="IG60" s="137"/>
      <c r="IH60" s="137"/>
      <c r="II60" s="137"/>
      <c r="IJ60" s="137"/>
      <c r="IK60" s="137"/>
      <c r="IL60" s="137"/>
      <c r="IM60" s="137"/>
      <c r="IN60" s="137"/>
      <c r="IO60" s="137"/>
      <c r="IP60" s="137"/>
      <c r="IQ60" s="137"/>
      <c r="IR60" s="137"/>
      <c r="IS60" s="137"/>
      <c r="IT60" s="137"/>
      <c r="IU60" s="137"/>
      <c r="IV60" s="137"/>
    </row>
    <row r="61" spans="1:256" ht="13.5" thickBot="1">
      <c r="A61" s="167"/>
      <c r="B61" s="168"/>
      <c r="C61" s="169"/>
      <c r="D61" s="170"/>
      <c r="E61" s="170">
        <v>4216</v>
      </c>
      <c r="F61" s="171" t="s">
        <v>143</v>
      </c>
      <c r="G61" s="172" t="s">
        <v>144</v>
      </c>
      <c r="H61" s="173">
        <v>0</v>
      </c>
      <c r="I61" s="207">
        <f>314000+17000</f>
        <v>331000</v>
      </c>
      <c r="J61" s="207"/>
      <c r="K61" s="43">
        <f>I61+J61</f>
        <v>331000</v>
      </c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7"/>
      <c r="DT61" s="137"/>
      <c r="DU61" s="137"/>
      <c r="DV61" s="137"/>
      <c r="DW61" s="137"/>
      <c r="DX61" s="137"/>
      <c r="DY61" s="137"/>
      <c r="DZ61" s="137"/>
      <c r="EA61" s="137"/>
      <c r="EB61" s="137"/>
      <c r="EC61" s="137"/>
      <c r="ED61" s="137"/>
      <c r="EE61" s="137"/>
      <c r="EF61" s="137"/>
      <c r="EG61" s="137"/>
      <c r="EH61" s="137"/>
      <c r="EI61" s="137"/>
      <c r="EJ61" s="137"/>
      <c r="EK61" s="137"/>
      <c r="EL61" s="137"/>
      <c r="EM61" s="137"/>
      <c r="EN61" s="137"/>
      <c r="EO61" s="137"/>
      <c r="EP61" s="137"/>
      <c r="EQ61" s="137"/>
      <c r="ER61" s="137"/>
      <c r="ES61" s="137"/>
      <c r="ET61" s="137"/>
      <c r="EU61" s="137"/>
      <c r="EV61" s="137"/>
      <c r="EW61" s="137"/>
      <c r="EX61" s="137"/>
      <c r="EY61" s="137"/>
      <c r="EZ61" s="137"/>
      <c r="FA61" s="137"/>
      <c r="FB61" s="137"/>
      <c r="FC61" s="137"/>
      <c r="FD61" s="137"/>
      <c r="FE61" s="137"/>
      <c r="FF61" s="137"/>
      <c r="FG61" s="137"/>
      <c r="FH61" s="137"/>
      <c r="FI61" s="137"/>
      <c r="FJ61" s="137"/>
      <c r="FK61" s="137"/>
      <c r="FL61" s="137"/>
      <c r="FM61" s="137"/>
      <c r="FN61" s="137"/>
      <c r="FO61" s="137"/>
      <c r="FP61" s="137"/>
      <c r="FQ61" s="137"/>
      <c r="FR61" s="137"/>
      <c r="FS61" s="137"/>
      <c r="FT61" s="137"/>
      <c r="FU61" s="137"/>
      <c r="FV61" s="137"/>
      <c r="FW61" s="137"/>
      <c r="FX61" s="137"/>
      <c r="FY61" s="137"/>
      <c r="FZ61" s="137"/>
      <c r="GA61" s="137"/>
      <c r="GB61" s="137"/>
      <c r="GC61" s="137"/>
      <c r="GD61" s="137"/>
      <c r="GE61" s="137"/>
      <c r="GF61" s="137"/>
      <c r="GG61" s="137"/>
      <c r="GH61" s="137"/>
      <c r="GI61" s="137"/>
      <c r="GJ61" s="137"/>
      <c r="GK61" s="137"/>
      <c r="GL61" s="137"/>
      <c r="GM61" s="137"/>
      <c r="GN61" s="137"/>
      <c r="GO61" s="137"/>
      <c r="GP61" s="137"/>
      <c r="GQ61" s="137"/>
      <c r="GR61" s="137"/>
      <c r="GS61" s="137"/>
      <c r="GT61" s="137"/>
      <c r="GU61" s="137"/>
      <c r="GV61" s="137"/>
      <c r="GW61" s="137"/>
      <c r="GX61" s="137"/>
      <c r="GY61" s="137"/>
      <c r="GZ61" s="137"/>
      <c r="HA61" s="137"/>
      <c r="HB61" s="137"/>
      <c r="HC61" s="137"/>
      <c r="HD61" s="137"/>
      <c r="HE61" s="137"/>
      <c r="HF61" s="137"/>
      <c r="HG61" s="137"/>
      <c r="HH61" s="137"/>
      <c r="HI61" s="137"/>
      <c r="HJ61" s="137"/>
      <c r="HK61" s="137"/>
      <c r="HL61" s="137"/>
      <c r="HM61" s="137"/>
      <c r="HN61" s="137"/>
      <c r="HO61" s="137"/>
      <c r="HP61" s="137"/>
      <c r="HQ61" s="137"/>
      <c r="HR61" s="137"/>
      <c r="HS61" s="137"/>
      <c r="HT61" s="137"/>
      <c r="HU61" s="137"/>
      <c r="HV61" s="137"/>
      <c r="HW61" s="137"/>
      <c r="HX61" s="137"/>
      <c r="HY61" s="137"/>
      <c r="HZ61" s="137"/>
      <c r="IA61" s="137"/>
      <c r="IB61" s="137"/>
      <c r="IC61" s="137"/>
      <c r="ID61" s="137"/>
      <c r="IE61" s="137"/>
      <c r="IF61" s="137"/>
      <c r="IG61" s="137"/>
      <c r="IH61" s="137"/>
      <c r="II61" s="137"/>
      <c r="IJ61" s="137"/>
      <c r="IK61" s="137"/>
      <c r="IL61" s="137"/>
      <c r="IM61" s="137"/>
      <c r="IN61" s="137"/>
      <c r="IO61" s="137"/>
      <c r="IP61" s="137"/>
      <c r="IQ61" s="137"/>
      <c r="IR61" s="137"/>
      <c r="IS61" s="137"/>
      <c r="IT61" s="137"/>
      <c r="IU61" s="137"/>
      <c r="IV61" s="137"/>
    </row>
    <row r="62" spans="1:256" ht="12.75">
      <c r="A62" s="208" t="s">
        <v>100</v>
      </c>
      <c r="B62" s="132" t="s">
        <v>5</v>
      </c>
      <c r="C62" s="209" t="s">
        <v>145</v>
      </c>
      <c r="D62" s="132" t="s">
        <v>3</v>
      </c>
      <c r="E62" s="132" t="s">
        <v>3</v>
      </c>
      <c r="F62" s="107" t="s">
        <v>3</v>
      </c>
      <c r="G62" s="146" t="s">
        <v>146</v>
      </c>
      <c r="H62" s="210">
        <f>SUM(H63:H63)</f>
        <v>0</v>
      </c>
      <c r="I62" s="165">
        <f>SUM(I63:I63)</f>
        <v>24000</v>
      </c>
      <c r="J62" s="166">
        <f>SUM(J63:J63)</f>
        <v>0</v>
      </c>
      <c r="K62" s="210">
        <f>SUM(K63:K63)</f>
        <v>24000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7"/>
      <c r="DR62" s="137"/>
      <c r="DS62" s="137"/>
      <c r="DT62" s="137"/>
      <c r="DU62" s="137"/>
      <c r="DV62" s="137"/>
      <c r="DW62" s="137"/>
      <c r="DX62" s="137"/>
      <c r="DY62" s="137"/>
      <c r="DZ62" s="137"/>
      <c r="EA62" s="137"/>
      <c r="EB62" s="137"/>
      <c r="EC62" s="137"/>
      <c r="ED62" s="137"/>
      <c r="EE62" s="137"/>
      <c r="EF62" s="137"/>
      <c r="EG62" s="137"/>
      <c r="EH62" s="137"/>
      <c r="EI62" s="137"/>
      <c r="EJ62" s="137"/>
      <c r="EK62" s="137"/>
      <c r="EL62" s="137"/>
      <c r="EM62" s="137"/>
      <c r="EN62" s="137"/>
      <c r="EO62" s="137"/>
      <c r="EP62" s="137"/>
      <c r="EQ62" s="137"/>
      <c r="ER62" s="137"/>
      <c r="ES62" s="137"/>
      <c r="ET62" s="137"/>
      <c r="EU62" s="137"/>
      <c r="EV62" s="137"/>
      <c r="EW62" s="137"/>
      <c r="EX62" s="137"/>
      <c r="EY62" s="137"/>
      <c r="EZ62" s="137"/>
      <c r="FA62" s="137"/>
      <c r="FB62" s="137"/>
      <c r="FC62" s="137"/>
      <c r="FD62" s="137"/>
      <c r="FE62" s="137"/>
      <c r="FF62" s="137"/>
      <c r="FG62" s="137"/>
      <c r="FH62" s="137"/>
      <c r="FI62" s="137"/>
      <c r="FJ62" s="137"/>
      <c r="FK62" s="137"/>
      <c r="FL62" s="137"/>
      <c r="FM62" s="137"/>
      <c r="FN62" s="137"/>
      <c r="FO62" s="137"/>
      <c r="FP62" s="137"/>
      <c r="FQ62" s="137"/>
      <c r="FR62" s="137"/>
      <c r="FS62" s="137"/>
      <c r="FT62" s="137"/>
      <c r="FU62" s="137"/>
      <c r="FV62" s="137"/>
      <c r="FW62" s="137"/>
      <c r="FX62" s="137"/>
      <c r="FY62" s="137"/>
      <c r="FZ62" s="137"/>
      <c r="GA62" s="137"/>
      <c r="GB62" s="137"/>
      <c r="GC62" s="137"/>
      <c r="GD62" s="137"/>
      <c r="GE62" s="137"/>
      <c r="GF62" s="137"/>
      <c r="GG62" s="137"/>
      <c r="GH62" s="137"/>
      <c r="GI62" s="137"/>
      <c r="GJ62" s="137"/>
      <c r="GK62" s="137"/>
      <c r="GL62" s="137"/>
      <c r="GM62" s="137"/>
      <c r="GN62" s="137"/>
      <c r="GO62" s="137"/>
      <c r="GP62" s="137"/>
      <c r="GQ62" s="137"/>
      <c r="GR62" s="137"/>
      <c r="GS62" s="137"/>
      <c r="GT62" s="137"/>
      <c r="GU62" s="137"/>
      <c r="GV62" s="137"/>
      <c r="GW62" s="137"/>
      <c r="GX62" s="137"/>
      <c r="GY62" s="137"/>
      <c r="GZ62" s="137"/>
      <c r="HA62" s="137"/>
      <c r="HB62" s="137"/>
      <c r="HC62" s="137"/>
      <c r="HD62" s="137"/>
      <c r="HE62" s="137"/>
      <c r="HF62" s="137"/>
      <c r="HG62" s="137"/>
      <c r="HH62" s="137"/>
      <c r="HI62" s="137"/>
      <c r="HJ62" s="137"/>
      <c r="HK62" s="137"/>
      <c r="HL62" s="137"/>
      <c r="HM62" s="137"/>
      <c r="HN62" s="137"/>
      <c r="HO62" s="137"/>
      <c r="HP62" s="137"/>
      <c r="HQ62" s="137"/>
      <c r="HR62" s="137"/>
      <c r="HS62" s="137"/>
      <c r="HT62" s="137"/>
      <c r="HU62" s="137"/>
      <c r="HV62" s="137"/>
      <c r="HW62" s="137"/>
      <c r="HX62" s="137"/>
      <c r="HY62" s="137"/>
      <c r="HZ62" s="137"/>
      <c r="IA62" s="137"/>
      <c r="IB62" s="137"/>
      <c r="IC62" s="137"/>
      <c r="ID62" s="137"/>
      <c r="IE62" s="137"/>
      <c r="IF62" s="137"/>
      <c r="IG62" s="137"/>
      <c r="IH62" s="137"/>
      <c r="II62" s="137"/>
      <c r="IJ62" s="137"/>
      <c r="IK62" s="137"/>
      <c r="IL62" s="137"/>
      <c r="IM62" s="137"/>
      <c r="IN62" s="137"/>
      <c r="IO62" s="137"/>
      <c r="IP62" s="137"/>
      <c r="IQ62" s="137"/>
      <c r="IR62" s="137"/>
      <c r="IS62" s="137"/>
      <c r="IT62" s="137"/>
      <c r="IU62" s="137"/>
      <c r="IV62" s="137"/>
    </row>
    <row r="63" spans="1:256" ht="13.5" thickBot="1">
      <c r="A63" s="211"/>
      <c r="B63" s="187"/>
      <c r="C63" s="188"/>
      <c r="D63" s="189"/>
      <c r="E63" s="189">
        <v>4223</v>
      </c>
      <c r="F63" s="183" t="s">
        <v>147</v>
      </c>
      <c r="G63" s="212" t="s">
        <v>148</v>
      </c>
      <c r="H63" s="119">
        <v>0</v>
      </c>
      <c r="I63" s="129">
        <v>24000</v>
      </c>
      <c r="J63" s="207"/>
      <c r="K63" s="43">
        <f>I63+J63</f>
        <v>24000</v>
      </c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  <c r="DF63" s="137"/>
      <c r="DG63" s="137"/>
      <c r="DH63" s="137"/>
      <c r="DI63" s="137"/>
      <c r="DJ63" s="137"/>
      <c r="DK63" s="137"/>
      <c r="DL63" s="137"/>
      <c r="DM63" s="137"/>
      <c r="DN63" s="137"/>
      <c r="DO63" s="137"/>
      <c r="DP63" s="137"/>
      <c r="DQ63" s="137"/>
      <c r="DR63" s="137"/>
      <c r="DS63" s="137"/>
      <c r="DT63" s="137"/>
      <c r="DU63" s="137"/>
      <c r="DV63" s="137"/>
      <c r="DW63" s="137"/>
      <c r="DX63" s="137"/>
      <c r="DY63" s="137"/>
      <c r="DZ63" s="137"/>
      <c r="EA63" s="137"/>
      <c r="EB63" s="137"/>
      <c r="EC63" s="137"/>
      <c r="ED63" s="137"/>
      <c r="EE63" s="137"/>
      <c r="EF63" s="137"/>
      <c r="EG63" s="137"/>
      <c r="EH63" s="137"/>
      <c r="EI63" s="137"/>
      <c r="EJ63" s="137"/>
      <c r="EK63" s="137"/>
      <c r="EL63" s="137"/>
      <c r="EM63" s="137"/>
      <c r="EN63" s="137"/>
      <c r="EO63" s="137"/>
      <c r="EP63" s="137"/>
      <c r="EQ63" s="137"/>
      <c r="ER63" s="137"/>
      <c r="ES63" s="137"/>
      <c r="ET63" s="137"/>
      <c r="EU63" s="137"/>
      <c r="EV63" s="137"/>
      <c r="EW63" s="137"/>
      <c r="EX63" s="137"/>
      <c r="EY63" s="137"/>
      <c r="EZ63" s="137"/>
      <c r="FA63" s="137"/>
      <c r="FB63" s="137"/>
      <c r="FC63" s="137"/>
      <c r="FD63" s="137"/>
      <c r="FE63" s="137"/>
      <c r="FF63" s="137"/>
      <c r="FG63" s="137"/>
      <c r="FH63" s="137"/>
      <c r="FI63" s="137"/>
      <c r="FJ63" s="137"/>
      <c r="FK63" s="137"/>
      <c r="FL63" s="137"/>
      <c r="FM63" s="137"/>
      <c r="FN63" s="137"/>
      <c r="FO63" s="137"/>
      <c r="FP63" s="137"/>
      <c r="FQ63" s="137"/>
      <c r="FR63" s="137"/>
      <c r="FS63" s="137"/>
      <c r="FT63" s="137"/>
      <c r="FU63" s="137"/>
      <c r="FV63" s="137"/>
      <c r="FW63" s="137"/>
      <c r="FX63" s="137"/>
      <c r="FY63" s="137"/>
      <c r="FZ63" s="137"/>
      <c r="GA63" s="137"/>
      <c r="GB63" s="137"/>
      <c r="GC63" s="137"/>
      <c r="GD63" s="137"/>
      <c r="GE63" s="137"/>
      <c r="GF63" s="137"/>
      <c r="GG63" s="137"/>
      <c r="GH63" s="137"/>
      <c r="GI63" s="137"/>
      <c r="GJ63" s="137"/>
      <c r="GK63" s="137"/>
      <c r="GL63" s="137"/>
      <c r="GM63" s="137"/>
      <c r="GN63" s="137"/>
      <c r="GO63" s="137"/>
      <c r="GP63" s="137"/>
      <c r="GQ63" s="137"/>
      <c r="GR63" s="137"/>
      <c r="GS63" s="137"/>
      <c r="GT63" s="137"/>
      <c r="GU63" s="137"/>
      <c r="GV63" s="137"/>
      <c r="GW63" s="137"/>
      <c r="GX63" s="137"/>
      <c r="GY63" s="137"/>
      <c r="GZ63" s="137"/>
      <c r="HA63" s="137"/>
      <c r="HB63" s="137"/>
      <c r="HC63" s="137"/>
      <c r="HD63" s="137"/>
      <c r="HE63" s="137"/>
      <c r="HF63" s="137"/>
      <c r="HG63" s="137"/>
      <c r="HH63" s="137"/>
      <c r="HI63" s="137"/>
      <c r="HJ63" s="137"/>
      <c r="HK63" s="137"/>
      <c r="HL63" s="137"/>
      <c r="HM63" s="137"/>
      <c r="HN63" s="137"/>
      <c r="HO63" s="137"/>
      <c r="HP63" s="137"/>
      <c r="HQ63" s="137"/>
      <c r="HR63" s="137"/>
      <c r="HS63" s="137"/>
      <c r="HT63" s="137"/>
      <c r="HU63" s="137"/>
      <c r="HV63" s="137"/>
      <c r="HW63" s="137"/>
      <c r="HX63" s="137"/>
      <c r="HY63" s="137"/>
      <c r="HZ63" s="137"/>
      <c r="IA63" s="137"/>
      <c r="IB63" s="137"/>
      <c r="IC63" s="137"/>
      <c r="ID63" s="137"/>
      <c r="IE63" s="137"/>
      <c r="IF63" s="137"/>
      <c r="IG63" s="137"/>
      <c r="IH63" s="137"/>
      <c r="II63" s="137"/>
      <c r="IJ63" s="137"/>
      <c r="IK63" s="137"/>
      <c r="IL63" s="137"/>
      <c r="IM63" s="137"/>
      <c r="IN63" s="137"/>
      <c r="IO63" s="137"/>
      <c r="IP63" s="137"/>
      <c r="IQ63" s="137"/>
      <c r="IR63" s="137"/>
      <c r="IS63" s="137"/>
      <c r="IT63" s="137"/>
      <c r="IU63" s="137"/>
      <c r="IV63" s="137"/>
    </row>
    <row r="64" spans="1:256" ht="12.75">
      <c r="A64" s="208" t="s">
        <v>100</v>
      </c>
      <c r="B64" s="132" t="s">
        <v>5</v>
      </c>
      <c r="C64" s="209" t="s">
        <v>149</v>
      </c>
      <c r="D64" s="132" t="s">
        <v>3</v>
      </c>
      <c r="E64" s="132" t="s">
        <v>3</v>
      </c>
      <c r="F64" s="107" t="s">
        <v>3</v>
      </c>
      <c r="G64" s="146" t="s">
        <v>150</v>
      </c>
      <c r="H64" s="210">
        <f>SUM(H65:H65)</f>
        <v>0</v>
      </c>
      <c r="I64" s="165">
        <f>SUM(I65:I65)</f>
        <v>11000</v>
      </c>
      <c r="J64" s="166">
        <f>SUM(J65:J65)</f>
        <v>0</v>
      </c>
      <c r="K64" s="210">
        <f>SUM(K65:K65)</f>
        <v>11000</v>
      </c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7"/>
      <c r="DQ64" s="137"/>
      <c r="DR64" s="137"/>
      <c r="DS64" s="137"/>
      <c r="DT64" s="137"/>
      <c r="DU64" s="137"/>
      <c r="DV64" s="137"/>
      <c r="DW64" s="137"/>
      <c r="DX64" s="137"/>
      <c r="DY64" s="137"/>
      <c r="DZ64" s="137"/>
      <c r="EA64" s="137"/>
      <c r="EB64" s="137"/>
      <c r="EC64" s="137"/>
      <c r="ED64" s="137"/>
      <c r="EE64" s="137"/>
      <c r="EF64" s="137"/>
      <c r="EG64" s="137"/>
      <c r="EH64" s="137"/>
      <c r="EI64" s="137"/>
      <c r="EJ64" s="137"/>
      <c r="EK64" s="137"/>
      <c r="EL64" s="137"/>
      <c r="EM64" s="137"/>
      <c r="EN64" s="137"/>
      <c r="EO64" s="137"/>
      <c r="EP64" s="137"/>
      <c r="EQ64" s="137"/>
      <c r="ER64" s="137"/>
      <c r="ES64" s="137"/>
      <c r="ET64" s="137"/>
      <c r="EU64" s="137"/>
      <c r="EV64" s="137"/>
      <c r="EW64" s="137"/>
      <c r="EX64" s="137"/>
      <c r="EY64" s="137"/>
      <c r="EZ64" s="137"/>
      <c r="FA64" s="137"/>
      <c r="FB64" s="137"/>
      <c r="FC64" s="137"/>
      <c r="FD64" s="137"/>
      <c r="FE64" s="137"/>
      <c r="FF64" s="137"/>
      <c r="FG64" s="137"/>
      <c r="FH64" s="137"/>
      <c r="FI64" s="137"/>
      <c r="FJ64" s="137"/>
      <c r="FK64" s="137"/>
      <c r="FL64" s="137"/>
      <c r="FM64" s="137"/>
      <c r="FN64" s="137"/>
      <c r="FO64" s="137"/>
      <c r="FP64" s="137"/>
      <c r="FQ64" s="137"/>
      <c r="FR64" s="137"/>
      <c r="FS64" s="137"/>
      <c r="FT64" s="137"/>
      <c r="FU64" s="137"/>
      <c r="FV64" s="137"/>
      <c r="FW64" s="137"/>
      <c r="FX64" s="137"/>
      <c r="FY64" s="137"/>
      <c r="FZ64" s="137"/>
      <c r="GA64" s="137"/>
      <c r="GB64" s="137"/>
      <c r="GC64" s="137"/>
      <c r="GD64" s="137"/>
      <c r="GE64" s="137"/>
      <c r="GF64" s="137"/>
      <c r="GG64" s="137"/>
      <c r="GH64" s="137"/>
      <c r="GI64" s="137"/>
      <c r="GJ64" s="137"/>
      <c r="GK64" s="137"/>
      <c r="GL64" s="137"/>
      <c r="GM64" s="137"/>
      <c r="GN64" s="137"/>
      <c r="GO64" s="137"/>
      <c r="GP64" s="137"/>
      <c r="GQ64" s="137"/>
      <c r="GR64" s="137"/>
      <c r="GS64" s="137"/>
      <c r="GT64" s="137"/>
      <c r="GU64" s="137"/>
      <c r="GV64" s="137"/>
      <c r="GW64" s="137"/>
      <c r="GX64" s="137"/>
      <c r="GY64" s="137"/>
      <c r="GZ64" s="137"/>
      <c r="HA64" s="137"/>
      <c r="HB64" s="137"/>
      <c r="HC64" s="137"/>
      <c r="HD64" s="137"/>
      <c r="HE64" s="137"/>
      <c r="HF64" s="137"/>
      <c r="HG64" s="137"/>
      <c r="HH64" s="137"/>
      <c r="HI64" s="137"/>
      <c r="HJ64" s="137"/>
      <c r="HK64" s="137"/>
      <c r="HL64" s="137"/>
      <c r="HM64" s="137"/>
      <c r="HN64" s="137"/>
      <c r="HO64" s="137"/>
      <c r="HP64" s="137"/>
      <c r="HQ64" s="137"/>
      <c r="HR64" s="137"/>
      <c r="HS64" s="137"/>
      <c r="HT64" s="137"/>
      <c r="HU64" s="137"/>
      <c r="HV64" s="137"/>
      <c r="HW64" s="137"/>
      <c r="HX64" s="137"/>
      <c r="HY64" s="137"/>
      <c r="HZ64" s="137"/>
      <c r="IA64" s="137"/>
      <c r="IB64" s="137"/>
      <c r="IC64" s="137"/>
      <c r="ID64" s="137"/>
      <c r="IE64" s="137"/>
      <c r="IF64" s="137"/>
      <c r="IG64" s="137"/>
      <c r="IH64" s="137"/>
      <c r="II64" s="137"/>
      <c r="IJ64" s="137"/>
      <c r="IK64" s="137"/>
      <c r="IL64" s="137"/>
      <c r="IM64" s="137"/>
      <c r="IN64" s="137"/>
      <c r="IO64" s="137"/>
      <c r="IP64" s="137"/>
      <c r="IQ64" s="137"/>
      <c r="IR64" s="137"/>
      <c r="IS64" s="137"/>
      <c r="IT64" s="137"/>
      <c r="IU64" s="137"/>
      <c r="IV64" s="137"/>
    </row>
    <row r="65" spans="1:256" ht="13.5" thickBot="1">
      <c r="A65" s="211"/>
      <c r="B65" s="187"/>
      <c r="C65" s="188"/>
      <c r="D65" s="189"/>
      <c r="E65" s="189">
        <v>4223</v>
      </c>
      <c r="F65" s="183" t="s">
        <v>147</v>
      </c>
      <c r="G65" s="212" t="s">
        <v>148</v>
      </c>
      <c r="H65" s="119">
        <v>0</v>
      </c>
      <c r="I65" s="129">
        <v>11000</v>
      </c>
      <c r="J65" s="207"/>
      <c r="K65" s="43">
        <f>I65+J65</f>
        <v>11000</v>
      </c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V65" s="137"/>
      <c r="DW65" s="137"/>
      <c r="DX65" s="137"/>
      <c r="DY65" s="137"/>
      <c r="DZ65" s="137"/>
      <c r="EA65" s="137"/>
      <c r="EB65" s="137"/>
      <c r="EC65" s="137"/>
      <c r="ED65" s="137"/>
      <c r="EE65" s="137"/>
      <c r="EF65" s="137"/>
      <c r="EG65" s="137"/>
      <c r="EH65" s="137"/>
      <c r="EI65" s="137"/>
      <c r="EJ65" s="137"/>
      <c r="EK65" s="137"/>
      <c r="EL65" s="137"/>
      <c r="EM65" s="137"/>
      <c r="EN65" s="137"/>
      <c r="EO65" s="137"/>
      <c r="EP65" s="137"/>
      <c r="EQ65" s="137"/>
      <c r="ER65" s="137"/>
      <c r="ES65" s="137"/>
      <c r="ET65" s="137"/>
      <c r="EU65" s="137"/>
      <c r="EV65" s="137"/>
      <c r="EW65" s="137"/>
      <c r="EX65" s="137"/>
      <c r="EY65" s="137"/>
      <c r="EZ65" s="137"/>
      <c r="FA65" s="137"/>
      <c r="FB65" s="137"/>
      <c r="FC65" s="137"/>
      <c r="FD65" s="137"/>
      <c r="FE65" s="137"/>
      <c r="FF65" s="137"/>
      <c r="FG65" s="137"/>
      <c r="FH65" s="137"/>
      <c r="FI65" s="137"/>
      <c r="FJ65" s="137"/>
      <c r="FK65" s="137"/>
      <c r="FL65" s="137"/>
      <c r="FM65" s="137"/>
      <c r="FN65" s="137"/>
      <c r="FO65" s="137"/>
      <c r="FP65" s="137"/>
      <c r="FQ65" s="137"/>
      <c r="FR65" s="137"/>
      <c r="FS65" s="137"/>
      <c r="FT65" s="137"/>
      <c r="FU65" s="137"/>
      <c r="FV65" s="137"/>
      <c r="FW65" s="137"/>
      <c r="FX65" s="137"/>
      <c r="FY65" s="137"/>
      <c r="FZ65" s="137"/>
      <c r="GA65" s="137"/>
      <c r="GB65" s="137"/>
      <c r="GC65" s="137"/>
      <c r="GD65" s="137"/>
      <c r="GE65" s="137"/>
      <c r="GF65" s="137"/>
      <c r="GG65" s="137"/>
      <c r="GH65" s="137"/>
      <c r="GI65" s="137"/>
      <c r="GJ65" s="137"/>
      <c r="GK65" s="137"/>
      <c r="GL65" s="137"/>
      <c r="GM65" s="137"/>
      <c r="GN65" s="137"/>
      <c r="GO65" s="137"/>
      <c r="GP65" s="137"/>
      <c r="GQ65" s="137"/>
      <c r="GR65" s="137"/>
      <c r="GS65" s="137"/>
      <c r="GT65" s="137"/>
      <c r="GU65" s="137"/>
      <c r="GV65" s="137"/>
      <c r="GW65" s="137"/>
      <c r="GX65" s="137"/>
      <c r="GY65" s="137"/>
      <c r="GZ65" s="137"/>
      <c r="HA65" s="137"/>
      <c r="HB65" s="137"/>
      <c r="HC65" s="137"/>
      <c r="HD65" s="137"/>
      <c r="HE65" s="137"/>
      <c r="HF65" s="137"/>
      <c r="HG65" s="137"/>
      <c r="HH65" s="137"/>
      <c r="HI65" s="137"/>
      <c r="HJ65" s="137"/>
      <c r="HK65" s="137"/>
      <c r="HL65" s="137"/>
      <c r="HM65" s="137"/>
      <c r="HN65" s="137"/>
      <c r="HO65" s="137"/>
      <c r="HP65" s="137"/>
      <c r="HQ65" s="137"/>
      <c r="HR65" s="137"/>
      <c r="HS65" s="137"/>
      <c r="HT65" s="137"/>
      <c r="HU65" s="137"/>
      <c r="HV65" s="137"/>
      <c r="HW65" s="137"/>
      <c r="HX65" s="137"/>
      <c r="HY65" s="137"/>
      <c r="HZ65" s="137"/>
      <c r="IA65" s="137"/>
      <c r="IB65" s="137"/>
      <c r="IC65" s="137"/>
      <c r="ID65" s="137"/>
      <c r="IE65" s="137"/>
      <c r="IF65" s="137"/>
      <c r="IG65" s="137"/>
      <c r="IH65" s="137"/>
      <c r="II65" s="137"/>
      <c r="IJ65" s="137"/>
      <c r="IK65" s="137"/>
      <c r="IL65" s="137"/>
      <c r="IM65" s="137"/>
      <c r="IN65" s="137"/>
      <c r="IO65" s="137"/>
      <c r="IP65" s="137"/>
      <c r="IQ65" s="137"/>
      <c r="IR65" s="137"/>
      <c r="IS65" s="137"/>
      <c r="IT65" s="137"/>
      <c r="IU65" s="137"/>
      <c r="IV65" s="137"/>
    </row>
    <row r="66" spans="1:256" ht="12.75">
      <c r="A66" s="208" t="s">
        <v>100</v>
      </c>
      <c r="B66" s="132" t="s">
        <v>5</v>
      </c>
      <c r="C66" s="209" t="s">
        <v>151</v>
      </c>
      <c r="D66" s="132" t="s">
        <v>3</v>
      </c>
      <c r="E66" s="132" t="s">
        <v>3</v>
      </c>
      <c r="F66" s="107" t="s">
        <v>3</v>
      </c>
      <c r="G66" s="146" t="s">
        <v>152</v>
      </c>
      <c r="H66" s="210">
        <f>SUM(H67:H67)</f>
        <v>0</v>
      </c>
      <c r="I66" s="165">
        <f>SUM(I67:I67)</f>
        <v>26000</v>
      </c>
      <c r="J66" s="166">
        <f>SUM(J67:J67)</f>
        <v>0</v>
      </c>
      <c r="K66" s="210">
        <f>SUM(K67:K67)</f>
        <v>26000</v>
      </c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7"/>
      <c r="FF66" s="137"/>
      <c r="FG66" s="137"/>
      <c r="FH66" s="137"/>
      <c r="FI66" s="137"/>
      <c r="FJ66" s="137"/>
      <c r="FK66" s="137"/>
      <c r="FL66" s="137"/>
      <c r="FM66" s="137"/>
      <c r="FN66" s="137"/>
      <c r="FO66" s="137"/>
      <c r="FP66" s="137"/>
      <c r="FQ66" s="137"/>
      <c r="FR66" s="137"/>
      <c r="FS66" s="137"/>
      <c r="FT66" s="137"/>
      <c r="FU66" s="137"/>
      <c r="FV66" s="137"/>
      <c r="FW66" s="137"/>
      <c r="FX66" s="137"/>
      <c r="FY66" s="137"/>
      <c r="FZ66" s="137"/>
      <c r="GA66" s="137"/>
      <c r="GB66" s="137"/>
      <c r="GC66" s="137"/>
      <c r="GD66" s="137"/>
      <c r="GE66" s="137"/>
      <c r="GF66" s="137"/>
      <c r="GG66" s="137"/>
      <c r="GH66" s="137"/>
      <c r="GI66" s="137"/>
      <c r="GJ66" s="137"/>
      <c r="GK66" s="137"/>
      <c r="GL66" s="137"/>
      <c r="GM66" s="137"/>
      <c r="GN66" s="137"/>
      <c r="GO66" s="137"/>
      <c r="GP66" s="137"/>
      <c r="GQ66" s="137"/>
      <c r="GR66" s="137"/>
      <c r="GS66" s="137"/>
      <c r="GT66" s="137"/>
      <c r="GU66" s="137"/>
      <c r="GV66" s="137"/>
      <c r="GW66" s="137"/>
      <c r="GX66" s="137"/>
      <c r="GY66" s="137"/>
      <c r="GZ66" s="137"/>
      <c r="HA66" s="137"/>
      <c r="HB66" s="137"/>
      <c r="HC66" s="137"/>
      <c r="HD66" s="137"/>
      <c r="HE66" s="137"/>
      <c r="HF66" s="137"/>
      <c r="HG66" s="137"/>
      <c r="HH66" s="137"/>
      <c r="HI66" s="137"/>
      <c r="HJ66" s="137"/>
      <c r="HK66" s="137"/>
      <c r="HL66" s="137"/>
      <c r="HM66" s="137"/>
      <c r="HN66" s="137"/>
      <c r="HO66" s="137"/>
      <c r="HP66" s="137"/>
      <c r="HQ66" s="137"/>
      <c r="HR66" s="137"/>
      <c r="HS66" s="137"/>
      <c r="HT66" s="137"/>
      <c r="HU66" s="137"/>
      <c r="HV66" s="137"/>
      <c r="HW66" s="137"/>
      <c r="HX66" s="137"/>
      <c r="HY66" s="137"/>
      <c r="HZ66" s="137"/>
      <c r="IA66" s="137"/>
      <c r="IB66" s="137"/>
      <c r="IC66" s="137"/>
      <c r="ID66" s="137"/>
      <c r="IE66" s="137"/>
      <c r="IF66" s="137"/>
      <c r="IG66" s="137"/>
      <c r="IH66" s="137"/>
      <c r="II66" s="137"/>
      <c r="IJ66" s="137"/>
      <c r="IK66" s="137"/>
      <c r="IL66" s="137"/>
      <c r="IM66" s="137"/>
      <c r="IN66" s="137"/>
      <c r="IO66" s="137"/>
      <c r="IP66" s="137"/>
      <c r="IQ66" s="137"/>
      <c r="IR66" s="137"/>
      <c r="IS66" s="137"/>
      <c r="IT66" s="137"/>
      <c r="IU66" s="137"/>
      <c r="IV66" s="137"/>
    </row>
    <row r="67" spans="1:256" ht="13.5" thickBot="1">
      <c r="A67" s="211"/>
      <c r="B67" s="187"/>
      <c r="C67" s="188"/>
      <c r="D67" s="189"/>
      <c r="E67" s="189">
        <v>4223</v>
      </c>
      <c r="F67" s="183" t="s">
        <v>147</v>
      </c>
      <c r="G67" s="212" t="s">
        <v>148</v>
      </c>
      <c r="H67" s="119">
        <v>0</v>
      </c>
      <c r="I67" s="129">
        <v>26000</v>
      </c>
      <c r="J67" s="207"/>
      <c r="K67" s="43">
        <f>I67+J67</f>
        <v>26000</v>
      </c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7"/>
      <c r="DE67" s="137"/>
      <c r="DF67" s="137"/>
      <c r="DG67" s="137"/>
      <c r="DH67" s="137"/>
      <c r="DI67" s="137"/>
      <c r="DJ67" s="137"/>
      <c r="DK67" s="137"/>
      <c r="DL67" s="137"/>
      <c r="DM67" s="137"/>
      <c r="DN67" s="137"/>
      <c r="DO67" s="137"/>
      <c r="DP67" s="137"/>
      <c r="DQ67" s="137"/>
      <c r="DR67" s="137"/>
      <c r="DS67" s="137"/>
      <c r="DT67" s="137"/>
      <c r="DU67" s="137"/>
      <c r="DV67" s="137"/>
      <c r="DW67" s="137"/>
      <c r="DX67" s="137"/>
      <c r="DY67" s="137"/>
      <c r="DZ67" s="137"/>
      <c r="EA67" s="137"/>
      <c r="EB67" s="137"/>
      <c r="EC67" s="137"/>
      <c r="ED67" s="137"/>
      <c r="EE67" s="137"/>
      <c r="EF67" s="137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7"/>
      <c r="ER67" s="137"/>
      <c r="ES67" s="137"/>
      <c r="ET67" s="137"/>
      <c r="EU67" s="137"/>
      <c r="EV67" s="137"/>
      <c r="EW67" s="137"/>
      <c r="EX67" s="137"/>
      <c r="EY67" s="137"/>
      <c r="EZ67" s="137"/>
      <c r="FA67" s="137"/>
      <c r="FB67" s="137"/>
      <c r="FC67" s="137"/>
      <c r="FD67" s="137"/>
      <c r="FE67" s="137"/>
      <c r="FF67" s="137"/>
      <c r="FG67" s="137"/>
      <c r="FH67" s="137"/>
      <c r="FI67" s="137"/>
      <c r="FJ67" s="137"/>
      <c r="FK67" s="137"/>
      <c r="FL67" s="137"/>
      <c r="FM67" s="137"/>
      <c r="FN67" s="137"/>
      <c r="FO67" s="137"/>
      <c r="FP67" s="137"/>
      <c r="FQ67" s="137"/>
      <c r="FR67" s="137"/>
      <c r="FS67" s="137"/>
      <c r="FT67" s="137"/>
      <c r="FU67" s="137"/>
      <c r="FV67" s="137"/>
      <c r="FW67" s="137"/>
      <c r="FX67" s="137"/>
      <c r="FY67" s="137"/>
      <c r="FZ67" s="137"/>
      <c r="GA67" s="137"/>
      <c r="GB67" s="137"/>
      <c r="GC67" s="137"/>
      <c r="GD67" s="137"/>
      <c r="GE67" s="137"/>
      <c r="GF67" s="137"/>
      <c r="GG67" s="137"/>
      <c r="GH67" s="137"/>
      <c r="GI67" s="137"/>
      <c r="GJ67" s="137"/>
      <c r="GK67" s="137"/>
      <c r="GL67" s="137"/>
      <c r="GM67" s="137"/>
      <c r="GN67" s="137"/>
      <c r="GO67" s="137"/>
      <c r="GP67" s="137"/>
      <c r="GQ67" s="137"/>
      <c r="GR67" s="137"/>
      <c r="GS67" s="137"/>
      <c r="GT67" s="137"/>
      <c r="GU67" s="137"/>
      <c r="GV67" s="137"/>
      <c r="GW67" s="137"/>
      <c r="GX67" s="137"/>
      <c r="GY67" s="137"/>
      <c r="GZ67" s="137"/>
      <c r="HA67" s="137"/>
      <c r="HB67" s="137"/>
      <c r="HC67" s="137"/>
      <c r="HD67" s="137"/>
      <c r="HE67" s="137"/>
      <c r="HF67" s="137"/>
      <c r="HG67" s="137"/>
      <c r="HH67" s="137"/>
      <c r="HI67" s="137"/>
      <c r="HJ67" s="137"/>
      <c r="HK67" s="137"/>
      <c r="HL67" s="137"/>
      <c r="HM67" s="137"/>
      <c r="HN67" s="137"/>
      <c r="HO67" s="137"/>
      <c r="HP67" s="137"/>
      <c r="HQ67" s="137"/>
      <c r="HR67" s="137"/>
      <c r="HS67" s="137"/>
      <c r="HT67" s="137"/>
      <c r="HU67" s="137"/>
      <c r="HV67" s="137"/>
      <c r="HW67" s="137"/>
      <c r="HX67" s="137"/>
      <c r="HY67" s="137"/>
      <c r="HZ67" s="137"/>
      <c r="IA67" s="137"/>
      <c r="IB67" s="137"/>
      <c r="IC67" s="137"/>
      <c r="ID67" s="137"/>
      <c r="IE67" s="137"/>
      <c r="IF67" s="137"/>
      <c r="IG67" s="137"/>
      <c r="IH67" s="137"/>
      <c r="II67" s="137"/>
      <c r="IJ67" s="137"/>
      <c r="IK67" s="137"/>
      <c r="IL67" s="137"/>
      <c r="IM67" s="137"/>
      <c r="IN67" s="137"/>
      <c r="IO67" s="137"/>
      <c r="IP67" s="137"/>
      <c r="IQ67" s="137"/>
      <c r="IR67" s="137"/>
      <c r="IS67" s="137"/>
      <c r="IT67" s="137"/>
      <c r="IU67" s="137"/>
      <c r="IV67" s="137"/>
    </row>
    <row r="68" spans="1:256" ht="12.75">
      <c r="A68" s="208" t="s">
        <v>100</v>
      </c>
      <c r="B68" s="132" t="s">
        <v>5</v>
      </c>
      <c r="C68" s="209" t="s">
        <v>153</v>
      </c>
      <c r="D68" s="132" t="s">
        <v>3</v>
      </c>
      <c r="E68" s="132" t="s">
        <v>3</v>
      </c>
      <c r="F68" s="107" t="s">
        <v>3</v>
      </c>
      <c r="G68" s="146" t="s">
        <v>101</v>
      </c>
      <c r="H68" s="210">
        <f>SUM(H69:H69)</f>
        <v>0</v>
      </c>
      <c r="I68" s="165">
        <f>SUM(I69:I69)</f>
        <v>8000</v>
      </c>
      <c r="J68" s="166">
        <f>SUM(J69:J69)</f>
        <v>0</v>
      </c>
      <c r="K68" s="210">
        <f>SUM(K69:K69)</f>
        <v>8000</v>
      </c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  <c r="DQ68" s="137"/>
      <c r="DR68" s="137"/>
      <c r="DS68" s="137"/>
      <c r="DT68" s="137"/>
      <c r="DU68" s="137"/>
      <c r="DV68" s="137"/>
      <c r="DW68" s="137"/>
      <c r="DX68" s="137"/>
      <c r="DY68" s="137"/>
      <c r="DZ68" s="137"/>
      <c r="EA68" s="137"/>
      <c r="EB68" s="137"/>
      <c r="EC68" s="137"/>
      <c r="ED68" s="137"/>
      <c r="EE68" s="137"/>
      <c r="EF68" s="137"/>
      <c r="EG68" s="137"/>
      <c r="EH68" s="137"/>
      <c r="EI68" s="137"/>
      <c r="EJ68" s="137"/>
      <c r="EK68" s="137"/>
      <c r="EL68" s="137"/>
      <c r="EM68" s="137"/>
      <c r="EN68" s="137"/>
      <c r="EO68" s="137"/>
      <c r="EP68" s="137"/>
      <c r="EQ68" s="137"/>
      <c r="ER68" s="137"/>
      <c r="ES68" s="137"/>
      <c r="ET68" s="137"/>
      <c r="EU68" s="137"/>
      <c r="EV68" s="137"/>
      <c r="EW68" s="137"/>
      <c r="EX68" s="137"/>
      <c r="EY68" s="137"/>
      <c r="EZ68" s="137"/>
      <c r="FA68" s="137"/>
      <c r="FB68" s="137"/>
      <c r="FC68" s="137"/>
      <c r="FD68" s="137"/>
      <c r="FE68" s="137"/>
      <c r="FF68" s="137"/>
      <c r="FG68" s="137"/>
      <c r="FH68" s="137"/>
      <c r="FI68" s="137"/>
      <c r="FJ68" s="137"/>
      <c r="FK68" s="137"/>
      <c r="FL68" s="137"/>
      <c r="FM68" s="137"/>
      <c r="FN68" s="137"/>
      <c r="FO68" s="137"/>
      <c r="FP68" s="137"/>
      <c r="FQ68" s="137"/>
      <c r="FR68" s="137"/>
      <c r="FS68" s="137"/>
      <c r="FT68" s="137"/>
      <c r="FU68" s="137"/>
      <c r="FV68" s="137"/>
      <c r="FW68" s="137"/>
      <c r="FX68" s="137"/>
      <c r="FY68" s="137"/>
      <c r="FZ68" s="137"/>
      <c r="GA68" s="137"/>
      <c r="GB68" s="137"/>
      <c r="GC68" s="137"/>
      <c r="GD68" s="137"/>
      <c r="GE68" s="137"/>
      <c r="GF68" s="137"/>
      <c r="GG68" s="137"/>
      <c r="GH68" s="137"/>
      <c r="GI68" s="137"/>
      <c r="GJ68" s="137"/>
      <c r="GK68" s="137"/>
      <c r="GL68" s="137"/>
      <c r="GM68" s="137"/>
      <c r="GN68" s="137"/>
      <c r="GO68" s="137"/>
      <c r="GP68" s="137"/>
      <c r="GQ68" s="137"/>
      <c r="GR68" s="137"/>
      <c r="GS68" s="137"/>
      <c r="GT68" s="137"/>
      <c r="GU68" s="137"/>
      <c r="GV68" s="137"/>
      <c r="GW68" s="137"/>
      <c r="GX68" s="137"/>
      <c r="GY68" s="137"/>
      <c r="GZ68" s="137"/>
      <c r="HA68" s="137"/>
      <c r="HB68" s="137"/>
      <c r="HC68" s="137"/>
      <c r="HD68" s="137"/>
      <c r="HE68" s="137"/>
      <c r="HF68" s="137"/>
      <c r="HG68" s="137"/>
      <c r="HH68" s="137"/>
      <c r="HI68" s="137"/>
      <c r="HJ68" s="137"/>
      <c r="HK68" s="137"/>
      <c r="HL68" s="137"/>
      <c r="HM68" s="137"/>
      <c r="HN68" s="137"/>
      <c r="HO68" s="137"/>
      <c r="HP68" s="137"/>
      <c r="HQ68" s="137"/>
      <c r="HR68" s="137"/>
      <c r="HS68" s="137"/>
      <c r="HT68" s="137"/>
      <c r="HU68" s="137"/>
      <c r="HV68" s="137"/>
      <c r="HW68" s="137"/>
      <c r="HX68" s="137"/>
      <c r="HY68" s="137"/>
      <c r="HZ68" s="137"/>
      <c r="IA68" s="137"/>
      <c r="IB68" s="137"/>
      <c r="IC68" s="137"/>
      <c r="ID68" s="137"/>
      <c r="IE68" s="137"/>
      <c r="IF68" s="137"/>
      <c r="IG68" s="137"/>
      <c r="IH68" s="137"/>
      <c r="II68" s="137"/>
      <c r="IJ68" s="137"/>
      <c r="IK68" s="137"/>
      <c r="IL68" s="137"/>
      <c r="IM68" s="137"/>
      <c r="IN68" s="137"/>
      <c r="IO68" s="137"/>
      <c r="IP68" s="137"/>
      <c r="IQ68" s="137"/>
      <c r="IR68" s="137"/>
      <c r="IS68" s="137"/>
      <c r="IT68" s="137"/>
      <c r="IU68" s="137"/>
      <c r="IV68" s="137"/>
    </row>
    <row r="69" spans="1:256" ht="13.5" thickBot="1">
      <c r="A69" s="211"/>
      <c r="B69" s="187"/>
      <c r="C69" s="188"/>
      <c r="D69" s="189"/>
      <c r="E69" s="189">
        <v>4223</v>
      </c>
      <c r="F69" s="183" t="s">
        <v>147</v>
      </c>
      <c r="G69" s="212" t="s">
        <v>148</v>
      </c>
      <c r="H69" s="119">
        <v>0</v>
      </c>
      <c r="I69" s="129">
        <v>8000</v>
      </c>
      <c r="J69" s="207"/>
      <c r="K69" s="43">
        <f>I69+J69</f>
        <v>8000</v>
      </c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  <c r="DF69" s="137"/>
      <c r="DG69" s="137"/>
      <c r="DH69" s="137"/>
      <c r="DI69" s="137"/>
      <c r="DJ69" s="137"/>
      <c r="DK69" s="137"/>
      <c r="DL69" s="137"/>
      <c r="DM69" s="137"/>
      <c r="DN69" s="137"/>
      <c r="DO69" s="137"/>
      <c r="DP69" s="137"/>
      <c r="DQ69" s="137"/>
      <c r="DR69" s="137"/>
      <c r="DS69" s="137"/>
      <c r="DT69" s="137"/>
      <c r="DU69" s="137"/>
      <c r="DV69" s="137"/>
      <c r="DW69" s="137"/>
      <c r="DX69" s="137"/>
      <c r="DY69" s="137"/>
      <c r="DZ69" s="137"/>
      <c r="EA69" s="137"/>
      <c r="EB69" s="137"/>
      <c r="EC69" s="137"/>
      <c r="ED69" s="137"/>
      <c r="EE69" s="137"/>
      <c r="EF69" s="137"/>
      <c r="EG69" s="137"/>
      <c r="EH69" s="137"/>
      <c r="EI69" s="137"/>
      <c r="EJ69" s="137"/>
      <c r="EK69" s="137"/>
      <c r="EL69" s="137"/>
      <c r="EM69" s="137"/>
      <c r="EN69" s="137"/>
      <c r="EO69" s="137"/>
      <c r="EP69" s="137"/>
      <c r="EQ69" s="137"/>
      <c r="ER69" s="137"/>
      <c r="ES69" s="137"/>
      <c r="ET69" s="137"/>
      <c r="EU69" s="137"/>
      <c r="EV69" s="137"/>
      <c r="EW69" s="137"/>
      <c r="EX69" s="137"/>
      <c r="EY69" s="137"/>
      <c r="EZ69" s="137"/>
      <c r="FA69" s="137"/>
      <c r="FB69" s="137"/>
      <c r="FC69" s="137"/>
      <c r="FD69" s="137"/>
      <c r="FE69" s="137"/>
      <c r="FF69" s="137"/>
      <c r="FG69" s="137"/>
      <c r="FH69" s="137"/>
      <c r="FI69" s="137"/>
      <c r="FJ69" s="137"/>
      <c r="FK69" s="137"/>
      <c r="FL69" s="137"/>
      <c r="FM69" s="137"/>
      <c r="FN69" s="137"/>
      <c r="FO69" s="137"/>
      <c r="FP69" s="137"/>
      <c r="FQ69" s="137"/>
      <c r="FR69" s="137"/>
      <c r="FS69" s="137"/>
      <c r="FT69" s="137"/>
      <c r="FU69" s="137"/>
      <c r="FV69" s="137"/>
      <c r="FW69" s="137"/>
      <c r="FX69" s="137"/>
      <c r="FY69" s="137"/>
      <c r="FZ69" s="137"/>
      <c r="GA69" s="137"/>
      <c r="GB69" s="137"/>
      <c r="GC69" s="137"/>
      <c r="GD69" s="137"/>
      <c r="GE69" s="137"/>
      <c r="GF69" s="137"/>
      <c r="GG69" s="137"/>
      <c r="GH69" s="137"/>
      <c r="GI69" s="137"/>
      <c r="GJ69" s="137"/>
      <c r="GK69" s="137"/>
      <c r="GL69" s="137"/>
      <c r="GM69" s="137"/>
      <c r="GN69" s="137"/>
      <c r="GO69" s="137"/>
      <c r="GP69" s="137"/>
      <c r="GQ69" s="137"/>
      <c r="GR69" s="137"/>
      <c r="GS69" s="137"/>
      <c r="GT69" s="137"/>
      <c r="GU69" s="137"/>
      <c r="GV69" s="137"/>
      <c r="GW69" s="137"/>
      <c r="GX69" s="137"/>
      <c r="GY69" s="137"/>
      <c r="GZ69" s="137"/>
      <c r="HA69" s="137"/>
      <c r="HB69" s="137"/>
      <c r="HC69" s="137"/>
      <c r="HD69" s="137"/>
      <c r="HE69" s="137"/>
      <c r="HF69" s="137"/>
      <c r="HG69" s="137"/>
      <c r="HH69" s="137"/>
      <c r="HI69" s="137"/>
      <c r="HJ69" s="137"/>
      <c r="HK69" s="137"/>
      <c r="HL69" s="137"/>
      <c r="HM69" s="137"/>
      <c r="HN69" s="137"/>
      <c r="HO69" s="137"/>
      <c r="HP69" s="137"/>
      <c r="HQ69" s="137"/>
      <c r="HR69" s="137"/>
      <c r="HS69" s="137"/>
      <c r="HT69" s="137"/>
      <c r="HU69" s="137"/>
      <c r="HV69" s="137"/>
      <c r="HW69" s="137"/>
      <c r="HX69" s="137"/>
      <c r="HY69" s="137"/>
      <c r="HZ69" s="137"/>
      <c r="IA69" s="137"/>
      <c r="IB69" s="137"/>
      <c r="IC69" s="137"/>
      <c r="ID69" s="137"/>
      <c r="IE69" s="137"/>
      <c r="IF69" s="137"/>
      <c r="IG69" s="137"/>
      <c r="IH69" s="137"/>
      <c r="II69" s="137"/>
      <c r="IJ69" s="137"/>
      <c r="IK69" s="137"/>
      <c r="IL69" s="137"/>
      <c r="IM69" s="137"/>
      <c r="IN69" s="137"/>
      <c r="IO69" s="137"/>
      <c r="IP69" s="137"/>
      <c r="IQ69" s="137"/>
      <c r="IR69" s="137"/>
      <c r="IS69" s="137"/>
      <c r="IT69" s="137"/>
      <c r="IU69" s="137"/>
      <c r="IV69" s="137"/>
    </row>
    <row r="70" spans="1:256" ht="12.75">
      <c r="A70" s="208" t="s">
        <v>100</v>
      </c>
      <c r="B70" s="132" t="s">
        <v>5</v>
      </c>
      <c r="C70" s="209" t="s">
        <v>154</v>
      </c>
      <c r="D70" s="132" t="s">
        <v>3</v>
      </c>
      <c r="E70" s="132" t="s">
        <v>3</v>
      </c>
      <c r="F70" s="107" t="s">
        <v>3</v>
      </c>
      <c r="G70" s="146" t="s">
        <v>155</v>
      </c>
      <c r="H70" s="210">
        <f>SUM(H71:H71)</f>
        <v>0</v>
      </c>
      <c r="I70" s="165">
        <f>SUM(I71:I71)</f>
        <v>15000</v>
      </c>
      <c r="J70" s="166">
        <f>SUM(J71:J71)</f>
        <v>0</v>
      </c>
      <c r="K70" s="210">
        <f>SUM(K71:K71)</f>
        <v>15000</v>
      </c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7"/>
      <c r="DE70" s="137"/>
      <c r="DF70" s="137"/>
      <c r="DG70" s="137"/>
      <c r="DH70" s="137"/>
      <c r="DI70" s="137"/>
      <c r="DJ70" s="137"/>
      <c r="DK70" s="137"/>
      <c r="DL70" s="137"/>
      <c r="DM70" s="137"/>
      <c r="DN70" s="137"/>
      <c r="DO70" s="137"/>
      <c r="DP70" s="137"/>
      <c r="DQ70" s="137"/>
      <c r="DR70" s="137"/>
      <c r="DS70" s="137"/>
      <c r="DT70" s="137"/>
      <c r="DU70" s="137"/>
      <c r="DV70" s="137"/>
      <c r="DW70" s="137"/>
      <c r="DX70" s="137"/>
      <c r="DY70" s="137"/>
      <c r="DZ70" s="137"/>
      <c r="EA70" s="137"/>
      <c r="EB70" s="137"/>
      <c r="EC70" s="137"/>
      <c r="ED70" s="137"/>
      <c r="EE70" s="137"/>
      <c r="EF70" s="137"/>
      <c r="EG70" s="137"/>
      <c r="EH70" s="137"/>
      <c r="EI70" s="137"/>
      <c r="EJ70" s="137"/>
      <c r="EK70" s="137"/>
      <c r="EL70" s="137"/>
      <c r="EM70" s="137"/>
      <c r="EN70" s="137"/>
      <c r="EO70" s="137"/>
      <c r="EP70" s="137"/>
      <c r="EQ70" s="137"/>
      <c r="ER70" s="137"/>
      <c r="ES70" s="137"/>
      <c r="ET70" s="137"/>
      <c r="EU70" s="137"/>
      <c r="EV70" s="137"/>
      <c r="EW70" s="137"/>
      <c r="EX70" s="137"/>
      <c r="EY70" s="137"/>
      <c r="EZ70" s="137"/>
      <c r="FA70" s="137"/>
      <c r="FB70" s="137"/>
      <c r="FC70" s="137"/>
      <c r="FD70" s="137"/>
      <c r="FE70" s="137"/>
      <c r="FF70" s="137"/>
      <c r="FG70" s="137"/>
      <c r="FH70" s="137"/>
      <c r="FI70" s="137"/>
      <c r="FJ70" s="137"/>
      <c r="FK70" s="137"/>
      <c r="FL70" s="137"/>
      <c r="FM70" s="137"/>
      <c r="FN70" s="137"/>
      <c r="FO70" s="137"/>
      <c r="FP70" s="137"/>
      <c r="FQ70" s="137"/>
      <c r="FR70" s="137"/>
      <c r="FS70" s="137"/>
      <c r="FT70" s="137"/>
      <c r="FU70" s="137"/>
      <c r="FV70" s="137"/>
      <c r="FW70" s="137"/>
      <c r="FX70" s="137"/>
      <c r="FY70" s="137"/>
      <c r="FZ70" s="137"/>
      <c r="GA70" s="137"/>
      <c r="GB70" s="137"/>
      <c r="GC70" s="137"/>
      <c r="GD70" s="137"/>
      <c r="GE70" s="137"/>
      <c r="GF70" s="137"/>
      <c r="GG70" s="137"/>
      <c r="GH70" s="137"/>
      <c r="GI70" s="137"/>
      <c r="GJ70" s="137"/>
      <c r="GK70" s="137"/>
      <c r="GL70" s="137"/>
      <c r="GM70" s="137"/>
      <c r="GN70" s="137"/>
      <c r="GO70" s="137"/>
      <c r="GP70" s="137"/>
      <c r="GQ70" s="137"/>
      <c r="GR70" s="137"/>
      <c r="GS70" s="137"/>
      <c r="GT70" s="137"/>
      <c r="GU70" s="137"/>
      <c r="GV70" s="137"/>
      <c r="GW70" s="137"/>
      <c r="GX70" s="137"/>
      <c r="GY70" s="137"/>
      <c r="GZ70" s="137"/>
      <c r="HA70" s="137"/>
      <c r="HB70" s="137"/>
      <c r="HC70" s="137"/>
      <c r="HD70" s="137"/>
      <c r="HE70" s="137"/>
      <c r="HF70" s="137"/>
      <c r="HG70" s="137"/>
      <c r="HH70" s="137"/>
      <c r="HI70" s="137"/>
      <c r="HJ70" s="137"/>
      <c r="HK70" s="137"/>
      <c r="HL70" s="137"/>
      <c r="HM70" s="137"/>
      <c r="HN70" s="137"/>
      <c r="HO70" s="137"/>
      <c r="HP70" s="137"/>
      <c r="HQ70" s="137"/>
      <c r="HR70" s="137"/>
      <c r="HS70" s="137"/>
      <c r="HT70" s="137"/>
      <c r="HU70" s="137"/>
      <c r="HV70" s="137"/>
      <c r="HW70" s="137"/>
      <c r="HX70" s="137"/>
      <c r="HY70" s="137"/>
      <c r="HZ70" s="137"/>
      <c r="IA70" s="137"/>
      <c r="IB70" s="137"/>
      <c r="IC70" s="137"/>
      <c r="ID70" s="137"/>
      <c r="IE70" s="137"/>
      <c r="IF70" s="137"/>
      <c r="IG70" s="137"/>
      <c r="IH70" s="137"/>
      <c r="II70" s="137"/>
      <c r="IJ70" s="137"/>
      <c r="IK70" s="137"/>
      <c r="IL70" s="137"/>
      <c r="IM70" s="137"/>
      <c r="IN70" s="137"/>
      <c r="IO70" s="137"/>
      <c r="IP70" s="137"/>
      <c r="IQ70" s="137"/>
      <c r="IR70" s="137"/>
      <c r="IS70" s="137"/>
      <c r="IT70" s="137"/>
      <c r="IU70" s="137"/>
      <c r="IV70" s="137"/>
    </row>
    <row r="71" spans="1:256" ht="13.5" thickBot="1">
      <c r="A71" s="211"/>
      <c r="B71" s="187"/>
      <c r="C71" s="188"/>
      <c r="D71" s="189"/>
      <c r="E71" s="189">
        <v>4223</v>
      </c>
      <c r="F71" s="183" t="s">
        <v>147</v>
      </c>
      <c r="G71" s="212" t="s">
        <v>148</v>
      </c>
      <c r="H71" s="119">
        <v>0</v>
      </c>
      <c r="I71" s="129">
        <v>15000</v>
      </c>
      <c r="J71" s="207"/>
      <c r="K71" s="43">
        <f>I71+J71</f>
        <v>15000</v>
      </c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7"/>
      <c r="DF71" s="137"/>
      <c r="DG71" s="137"/>
      <c r="DH71" s="137"/>
      <c r="DI71" s="137"/>
      <c r="DJ71" s="137"/>
      <c r="DK71" s="137"/>
      <c r="DL71" s="137"/>
      <c r="DM71" s="137"/>
      <c r="DN71" s="137"/>
      <c r="DO71" s="137"/>
      <c r="DP71" s="137"/>
      <c r="DQ71" s="137"/>
      <c r="DR71" s="137"/>
      <c r="DS71" s="137"/>
      <c r="DT71" s="137"/>
      <c r="DU71" s="137"/>
      <c r="DV71" s="137"/>
      <c r="DW71" s="137"/>
      <c r="DX71" s="137"/>
      <c r="DY71" s="137"/>
      <c r="DZ71" s="137"/>
      <c r="EA71" s="137"/>
      <c r="EB71" s="137"/>
      <c r="EC71" s="137"/>
      <c r="ED71" s="137"/>
      <c r="EE71" s="137"/>
      <c r="EF71" s="137"/>
      <c r="EG71" s="137"/>
      <c r="EH71" s="137"/>
      <c r="EI71" s="137"/>
      <c r="EJ71" s="137"/>
      <c r="EK71" s="137"/>
      <c r="EL71" s="137"/>
      <c r="EM71" s="137"/>
      <c r="EN71" s="137"/>
      <c r="EO71" s="137"/>
      <c r="EP71" s="137"/>
      <c r="EQ71" s="137"/>
      <c r="ER71" s="137"/>
      <c r="ES71" s="137"/>
      <c r="ET71" s="137"/>
      <c r="EU71" s="137"/>
      <c r="EV71" s="137"/>
      <c r="EW71" s="137"/>
      <c r="EX71" s="137"/>
      <c r="EY71" s="137"/>
      <c r="EZ71" s="137"/>
      <c r="FA71" s="137"/>
      <c r="FB71" s="137"/>
      <c r="FC71" s="137"/>
      <c r="FD71" s="137"/>
      <c r="FE71" s="137"/>
      <c r="FF71" s="137"/>
      <c r="FG71" s="137"/>
      <c r="FH71" s="137"/>
      <c r="FI71" s="137"/>
      <c r="FJ71" s="137"/>
      <c r="FK71" s="137"/>
      <c r="FL71" s="137"/>
      <c r="FM71" s="137"/>
      <c r="FN71" s="137"/>
      <c r="FO71" s="137"/>
      <c r="FP71" s="137"/>
      <c r="FQ71" s="137"/>
      <c r="FR71" s="137"/>
      <c r="FS71" s="137"/>
      <c r="FT71" s="137"/>
      <c r="FU71" s="137"/>
      <c r="FV71" s="137"/>
      <c r="FW71" s="137"/>
      <c r="FX71" s="137"/>
      <c r="FY71" s="137"/>
      <c r="FZ71" s="137"/>
      <c r="GA71" s="137"/>
      <c r="GB71" s="137"/>
      <c r="GC71" s="137"/>
      <c r="GD71" s="137"/>
      <c r="GE71" s="137"/>
      <c r="GF71" s="137"/>
      <c r="GG71" s="137"/>
      <c r="GH71" s="137"/>
      <c r="GI71" s="137"/>
      <c r="GJ71" s="137"/>
      <c r="GK71" s="137"/>
      <c r="GL71" s="137"/>
      <c r="GM71" s="137"/>
      <c r="GN71" s="137"/>
      <c r="GO71" s="137"/>
      <c r="GP71" s="137"/>
      <c r="GQ71" s="137"/>
      <c r="GR71" s="137"/>
      <c r="GS71" s="137"/>
      <c r="GT71" s="137"/>
      <c r="GU71" s="137"/>
      <c r="GV71" s="137"/>
      <c r="GW71" s="137"/>
      <c r="GX71" s="137"/>
      <c r="GY71" s="137"/>
      <c r="GZ71" s="137"/>
      <c r="HA71" s="137"/>
      <c r="HB71" s="137"/>
      <c r="HC71" s="137"/>
      <c r="HD71" s="137"/>
      <c r="HE71" s="137"/>
      <c r="HF71" s="137"/>
      <c r="HG71" s="137"/>
      <c r="HH71" s="137"/>
      <c r="HI71" s="137"/>
      <c r="HJ71" s="137"/>
      <c r="HK71" s="137"/>
      <c r="HL71" s="137"/>
      <c r="HM71" s="137"/>
      <c r="HN71" s="137"/>
      <c r="HO71" s="137"/>
      <c r="HP71" s="137"/>
      <c r="HQ71" s="137"/>
      <c r="HR71" s="137"/>
      <c r="HS71" s="137"/>
      <c r="HT71" s="137"/>
      <c r="HU71" s="137"/>
      <c r="HV71" s="137"/>
      <c r="HW71" s="137"/>
      <c r="HX71" s="137"/>
      <c r="HY71" s="137"/>
      <c r="HZ71" s="137"/>
      <c r="IA71" s="137"/>
      <c r="IB71" s="137"/>
      <c r="IC71" s="137"/>
      <c r="ID71" s="137"/>
      <c r="IE71" s="137"/>
      <c r="IF71" s="137"/>
      <c r="IG71" s="137"/>
      <c r="IH71" s="137"/>
      <c r="II71" s="137"/>
      <c r="IJ71" s="137"/>
      <c r="IK71" s="137"/>
      <c r="IL71" s="137"/>
      <c r="IM71" s="137"/>
      <c r="IN71" s="137"/>
      <c r="IO71" s="137"/>
      <c r="IP71" s="137"/>
      <c r="IQ71" s="137"/>
      <c r="IR71" s="137"/>
      <c r="IS71" s="137"/>
      <c r="IT71" s="137"/>
      <c r="IU71" s="137"/>
      <c r="IV71" s="137"/>
    </row>
    <row r="72" spans="1:256" ht="12.75">
      <c r="A72" s="208" t="s">
        <v>100</v>
      </c>
      <c r="B72" s="132" t="s">
        <v>5</v>
      </c>
      <c r="C72" s="209" t="s">
        <v>156</v>
      </c>
      <c r="D72" s="132" t="s">
        <v>3</v>
      </c>
      <c r="E72" s="132" t="s">
        <v>3</v>
      </c>
      <c r="F72" s="107" t="s">
        <v>3</v>
      </c>
      <c r="G72" s="146" t="s">
        <v>157</v>
      </c>
      <c r="H72" s="210">
        <f>SUM(H73:H73)</f>
        <v>0</v>
      </c>
      <c r="I72" s="165">
        <f>SUM(I73:I73)</f>
        <v>14000</v>
      </c>
      <c r="J72" s="166">
        <f>SUM(J73:J73)</f>
        <v>0</v>
      </c>
      <c r="K72" s="210">
        <f>SUM(K73:K73)</f>
        <v>14000</v>
      </c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7"/>
      <c r="DE72" s="137"/>
      <c r="DF72" s="137"/>
      <c r="DG72" s="137"/>
      <c r="DH72" s="137"/>
      <c r="DI72" s="137"/>
      <c r="DJ72" s="137"/>
      <c r="DK72" s="137"/>
      <c r="DL72" s="137"/>
      <c r="DM72" s="137"/>
      <c r="DN72" s="137"/>
      <c r="DO72" s="137"/>
      <c r="DP72" s="137"/>
      <c r="DQ72" s="137"/>
      <c r="DR72" s="137"/>
      <c r="DS72" s="137"/>
      <c r="DT72" s="137"/>
      <c r="DU72" s="137"/>
      <c r="DV72" s="137"/>
      <c r="DW72" s="137"/>
      <c r="DX72" s="137"/>
      <c r="DY72" s="137"/>
      <c r="DZ72" s="137"/>
      <c r="EA72" s="137"/>
      <c r="EB72" s="137"/>
      <c r="EC72" s="137"/>
      <c r="ED72" s="137"/>
      <c r="EE72" s="137"/>
      <c r="EF72" s="137"/>
      <c r="EG72" s="137"/>
      <c r="EH72" s="137"/>
      <c r="EI72" s="137"/>
      <c r="EJ72" s="137"/>
      <c r="EK72" s="137"/>
      <c r="EL72" s="137"/>
      <c r="EM72" s="137"/>
      <c r="EN72" s="137"/>
      <c r="EO72" s="137"/>
      <c r="EP72" s="137"/>
      <c r="EQ72" s="137"/>
      <c r="ER72" s="137"/>
      <c r="ES72" s="137"/>
      <c r="ET72" s="137"/>
      <c r="EU72" s="137"/>
      <c r="EV72" s="137"/>
      <c r="EW72" s="137"/>
      <c r="EX72" s="137"/>
      <c r="EY72" s="137"/>
      <c r="EZ72" s="137"/>
      <c r="FA72" s="137"/>
      <c r="FB72" s="137"/>
      <c r="FC72" s="137"/>
      <c r="FD72" s="137"/>
      <c r="FE72" s="137"/>
      <c r="FF72" s="137"/>
      <c r="FG72" s="137"/>
      <c r="FH72" s="137"/>
      <c r="FI72" s="137"/>
      <c r="FJ72" s="137"/>
      <c r="FK72" s="137"/>
      <c r="FL72" s="137"/>
      <c r="FM72" s="137"/>
      <c r="FN72" s="137"/>
      <c r="FO72" s="137"/>
      <c r="FP72" s="137"/>
      <c r="FQ72" s="137"/>
      <c r="FR72" s="137"/>
      <c r="FS72" s="137"/>
      <c r="FT72" s="137"/>
      <c r="FU72" s="137"/>
      <c r="FV72" s="137"/>
      <c r="FW72" s="137"/>
      <c r="FX72" s="137"/>
      <c r="FY72" s="137"/>
      <c r="FZ72" s="137"/>
      <c r="GA72" s="137"/>
      <c r="GB72" s="137"/>
      <c r="GC72" s="137"/>
      <c r="GD72" s="137"/>
      <c r="GE72" s="137"/>
      <c r="GF72" s="137"/>
      <c r="GG72" s="137"/>
      <c r="GH72" s="137"/>
      <c r="GI72" s="137"/>
      <c r="GJ72" s="137"/>
      <c r="GK72" s="137"/>
      <c r="GL72" s="137"/>
      <c r="GM72" s="137"/>
      <c r="GN72" s="137"/>
      <c r="GO72" s="137"/>
      <c r="GP72" s="137"/>
      <c r="GQ72" s="137"/>
      <c r="GR72" s="137"/>
      <c r="GS72" s="137"/>
      <c r="GT72" s="137"/>
      <c r="GU72" s="137"/>
      <c r="GV72" s="137"/>
      <c r="GW72" s="137"/>
      <c r="GX72" s="137"/>
      <c r="GY72" s="137"/>
      <c r="GZ72" s="137"/>
      <c r="HA72" s="137"/>
      <c r="HB72" s="137"/>
      <c r="HC72" s="137"/>
      <c r="HD72" s="137"/>
      <c r="HE72" s="137"/>
      <c r="HF72" s="137"/>
      <c r="HG72" s="137"/>
      <c r="HH72" s="137"/>
      <c r="HI72" s="137"/>
      <c r="HJ72" s="137"/>
      <c r="HK72" s="137"/>
      <c r="HL72" s="137"/>
      <c r="HM72" s="137"/>
      <c r="HN72" s="137"/>
      <c r="HO72" s="137"/>
      <c r="HP72" s="137"/>
      <c r="HQ72" s="137"/>
      <c r="HR72" s="137"/>
      <c r="HS72" s="137"/>
      <c r="HT72" s="137"/>
      <c r="HU72" s="137"/>
      <c r="HV72" s="137"/>
      <c r="HW72" s="137"/>
      <c r="HX72" s="137"/>
      <c r="HY72" s="137"/>
      <c r="HZ72" s="137"/>
      <c r="IA72" s="137"/>
      <c r="IB72" s="137"/>
      <c r="IC72" s="137"/>
      <c r="ID72" s="137"/>
      <c r="IE72" s="137"/>
      <c r="IF72" s="137"/>
      <c r="IG72" s="137"/>
      <c r="IH72" s="137"/>
      <c r="II72" s="137"/>
      <c r="IJ72" s="137"/>
      <c r="IK72" s="137"/>
      <c r="IL72" s="137"/>
      <c r="IM72" s="137"/>
      <c r="IN72" s="137"/>
      <c r="IO72" s="137"/>
      <c r="IP72" s="137"/>
      <c r="IQ72" s="137"/>
      <c r="IR72" s="137"/>
      <c r="IS72" s="137"/>
      <c r="IT72" s="137"/>
      <c r="IU72" s="137"/>
      <c r="IV72" s="137"/>
    </row>
    <row r="73" spans="1:256" ht="13.5" thickBot="1">
      <c r="A73" s="211"/>
      <c r="B73" s="187"/>
      <c r="C73" s="188"/>
      <c r="D73" s="189"/>
      <c r="E73" s="189">
        <v>4223</v>
      </c>
      <c r="F73" s="183" t="s">
        <v>147</v>
      </c>
      <c r="G73" s="212" t="s">
        <v>148</v>
      </c>
      <c r="H73" s="119">
        <v>0</v>
      </c>
      <c r="I73" s="129">
        <v>14000</v>
      </c>
      <c r="J73" s="207"/>
      <c r="K73" s="43">
        <f>I73+J73</f>
        <v>14000</v>
      </c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37"/>
      <c r="CB73" s="137"/>
      <c r="CC73" s="137"/>
      <c r="CD73" s="137"/>
      <c r="CE73" s="137"/>
      <c r="CF73" s="137"/>
      <c r="CG73" s="137"/>
      <c r="CH73" s="137"/>
      <c r="CI73" s="137"/>
      <c r="CJ73" s="137"/>
      <c r="CK73" s="137"/>
      <c r="CL73" s="137"/>
      <c r="CM73" s="137"/>
      <c r="CN73" s="137"/>
      <c r="CO73" s="137"/>
      <c r="CP73" s="137"/>
      <c r="CQ73" s="137"/>
      <c r="CR73" s="137"/>
      <c r="CS73" s="137"/>
      <c r="CT73" s="137"/>
      <c r="CU73" s="137"/>
      <c r="CV73" s="137"/>
      <c r="CW73" s="137"/>
      <c r="CX73" s="137"/>
      <c r="CY73" s="137"/>
      <c r="CZ73" s="137"/>
      <c r="DA73" s="137"/>
      <c r="DB73" s="137"/>
      <c r="DC73" s="137"/>
      <c r="DD73" s="137"/>
      <c r="DE73" s="137"/>
      <c r="DF73" s="137"/>
      <c r="DG73" s="137"/>
      <c r="DH73" s="137"/>
      <c r="DI73" s="137"/>
      <c r="DJ73" s="137"/>
      <c r="DK73" s="137"/>
      <c r="DL73" s="137"/>
      <c r="DM73" s="137"/>
      <c r="DN73" s="137"/>
      <c r="DO73" s="137"/>
      <c r="DP73" s="137"/>
      <c r="DQ73" s="137"/>
      <c r="DR73" s="137"/>
      <c r="DS73" s="137"/>
      <c r="DT73" s="137"/>
      <c r="DU73" s="137"/>
      <c r="DV73" s="137"/>
      <c r="DW73" s="137"/>
      <c r="DX73" s="137"/>
      <c r="DY73" s="137"/>
      <c r="DZ73" s="137"/>
      <c r="EA73" s="137"/>
      <c r="EB73" s="137"/>
      <c r="EC73" s="137"/>
      <c r="ED73" s="137"/>
      <c r="EE73" s="137"/>
      <c r="EF73" s="137"/>
      <c r="EG73" s="137"/>
      <c r="EH73" s="137"/>
      <c r="EI73" s="137"/>
      <c r="EJ73" s="137"/>
      <c r="EK73" s="137"/>
      <c r="EL73" s="137"/>
      <c r="EM73" s="137"/>
      <c r="EN73" s="137"/>
      <c r="EO73" s="137"/>
      <c r="EP73" s="137"/>
      <c r="EQ73" s="137"/>
      <c r="ER73" s="137"/>
      <c r="ES73" s="137"/>
      <c r="ET73" s="137"/>
      <c r="EU73" s="137"/>
      <c r="EV73" s="137"/>
      <c r="EW73" s="137"/>
      <c r="EX73" s="137"/>
      <c r="EY73" s="137"/>
      <c r="EZ73" s="137"/>
      <c r="FA73" s="137"/>
      <c r="FB73" s="137"/>
      <c r="FC73" s="137"/>
      <c r="FD73" s="137"/>
      <c r="FE73" s="137"/>
      <c r="FF73" s="137"/>
      <c r="FG73" s="137"/>
      <c r="FH73" s="137"/>
      <c r="FI73" s="137"/>
      <c r="FJ73" s="137"/>
      <c r="FK73" s="137"/>
      <c r="FL73" s="137"/>
      <c r="FM73" s="137"/>
      <c r="FN73" s="137"/>
      <c r="FO73" s="137"/>
      <c r="FP73" s="137"/>
      <c r="FQ73" s="137"/>
      <c r="FR73" s="137"/>
      <c r="FS73" s="137"/>
      <c r="FT73" s="137"/>
      <c r="FU73" s="137"/>
      <c r="FV73" s="137"/>
      <c r="FW73" s="137"/>
      <c r="FX73" s="137"/>
      <c r="FY73" s="137"/>
      <c r="FZ73" s="137"/>
      <c r="GA73" s="137"/>
      <c r="GB73" s="137"/>
      <c r="GC73" s="137"/>
      <c r="GD73" s="137"/>
      <c r="GE73" s="137"/>
      <c r="GF73" s="137"/>
      <c r="GG73" s="137"/>
      <c r="GH73" s="137"/>
      <c r="GI73" s="137"/>
      <c r="GJ73" s="137"/>
      <c r="GK73" s="137"/>
      <c r="GL73" s="137"/>
      <c r="GM73" s="137"/>
      <c r="GN73" s="137"/>
      <c r="GO73" s="137"/>
      <c r="GP73" s="137"/>
      <c r="GQ73" s="137"/>
      <c r="GR73" s="137"/>
      <c r="GS73" s="137"/>
      <c r="GT73" s="137"/>
      <c r="GU73" s="137"/>
      <c r="GV73" s="137"/>
      <c r="GW73" s="137"/>
      <c r="GX73" s="137"/>
      <c r="GY73" s="137"/>
      <c r="GZ73" s="137"/>
      <c r="HA73" s="137"/>
      <c r="HB73" s="137"/>
      <c r="HC73" s="137"/>
      <c r="HD73" s="137"/>
      <c r="HE73" s="137"/>
      <c r="HF73" s="137"/>
      <c r="HG73" s="137"/>
      <c r="HH73" s="137"/>
      <c r="HI73" s="137"/>
      <c r="HJ73" s="137"/>
      <c r="HK73" s="137"/>
      <c r="HL73" s="137"/>
      <c r="HM73" s="137"/>
      <c r="HN73" s="137"/>
      <c r="HO73" s="137"/>
      <c r="HP73" s="137"/>
      <c r="HQ73" s="137"/>
      <c r="HR73" s="137"/>
      <c r="HS73" s="137"/>
      <c r="HT73" s="137"/>
      <c r="HU73" s="137"/>
      <c r="HV73" s="137"/>
      <c r="HW73" s="137"/>
      <c r="HX73" s="137"/>
      <c r="HY73" s="137"/>
      <c r="HZ73" s="137"/>
      <c r="IA73" s="137"/>
      <c r="IB73" s="137"/>
      <c r="IC73" s="137"/>
      <c r="ID73" s="137"/>
      <c r="IE73" s="137"/>
      <c r="IF73" s="137"/>
      <c r="IG73" s="137"/>
      <c r="IH73" s="137"/>
      <c r="II73" s="137"/>
      <c r="IJ73" s="137"/>
      <c r="IK73" s="137"/>
      <c r="IL73" s="137"/>
      <c r="IM73" s="137"/>
      <c r="IN73" s="137"/>
      <c r="IO73" s="137"/>
      <c r="IP73" s="137"/>
      <c r="IQ73" s="137"/>
      <c r="IR73" s="137"/>
      <c r="IS73" s="137"/>
      <c r="IT73" s="137"/>
      <c r="IU73" s="137"/>
      <c r="IV73" s="137"/>
    </row>
    <row r="74" spans="1:256" ht="12.75">
      <c r="A74" s="208" t="s">
        <v>100</v>
      </c>
      <c r="B74" s="132" t="s">
        <v>5</v>
      </c>
      <c r="C74" s="209" t="s">
        <v>158</v>
      </c>
      <c r="D74" s="132" t="s">
        <v>3</v>
      </c>
      <c r="E74" s="132" t="s">
        <v>3</v>
      </c>
      <c r="F74" s="107" t="s">
        <v>3</v>
      </c>
      <c r="G74" s="213" t="s">
        <v>159</v>
      </c>
      <c r="H74" s="210">
        <f>SUM(H75:H75)</f>
        <v>0</v>
      </c>
      <c r="I74" s="165">
        <f>SUM(I75:I75)</f>
        <v>2000</v>
      </c>
      <c r="J74" s="166">
        <f>SUM(J75:J75)</f>
        <v>0</v>
      </c>
      <c r="K74" s="210">
        <f>SUM(K75:K75)</f>
        <v>2000</v>
      </c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7"/>
      <c r="CL74" s="137"/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7"/>
      <c r="DE74" s="137"/>
      <c r="DF74" s="137"/>
      <c r="DG74" s="137"/>
      <c r="DH74" s="137"/>
      <c r="DI74" s="137"/>
      <c r="DJ74" s="137"/>
      <c r="DK74" s="137"/>
      <c r="DL74" s="137"/>
      <c r="DM74" s="137"/>
      <c r="DN74" s="137"/>
      <c r="DO74" s="137"/>
      <c r="DP74" s="137"/>
      <c r="DQ74" s="137"/>
      <c r="DR74" s="137"/>
      <c r="DS74" s="137"/>
      <c r="DT74" s="137"/>
      <c r="DU74" s="137"/>
      <c r="DV74" s="137"/>
      <c r="DW74" s="137"/>
      <c r="DX74" s="137"/>
      <c r="DY74" s="137"/>
      <c r="DZ74" s="137"/>
      <c r="EA74" s="137"/>
      <c r="EB74" s="137"/>
      <c r="EC74" s="137"/>
      <c r="ED74" s="137"/>
      <c r="EE74" s="137"/>
      <c r="EF74" s="137"/>
      <c r="EG74" s="137"/>
      <c r="EH74" s="137"/>
      <c r="EI74" s="137"/>
      <c r="EJ74" s="137"/>
      <c r="EK74" s="137"/>
      <c r="EL74" s="137"/>
      <c r="EM74" s="137"/>
      <c r="EN74" s="137"/>
      <c r="EO74" s="137"/>
      <c r="EP74" s="137"/>
      <c r="EQ74" s="137"/>
      <c r="ER74" s="137"/>
      <c r="ES74" s="137"/>
      <c r="ET74" s="137"/>
      <c r="EU74" s="137"/>
      <c r="EV74" s="137"/>
      <c r="EW74" s="137"/>
      <c r="EX74" s="137"/>
      <c r="EY74" s="137"/>
      <c r="EZ74" s="137"/>
      <c r="FA74" s="137"/>
      <c r="FB74" s="137"/>
      <c r="FC74" s="137"/>
      <c r="FD74" s="137"/>
      <c r="FE74" s="137"/>
      <c r="FF74" s="137"/>
      <c r="FG74" s="137"/>
      <c r="FH74" s="137"/>
      <c r="FI74" s="137"/>
      <c r="FJ74" s="137"/>
      <c r="FK74" s="137"/>
      <c r="FL74" s="137"/>
      <c r="FM74" s="137"/>
      <c r="FN74" s="137"/>
      <c r="FO74" s="137"/>
      <c r="FP74" s="137"/>
      <c r="FQ74" s="137"/>
      <c r="FR74" s="137"/>
      <c r="FS74" s="137"/>
      <c r="FT74" s="137"/>
      <c r="FU74" s="137"/>
      <c r="FV74" s="137"/>
      <c r="FW74" s="137"/>
      <c r="FX74" s="137"/>
      <c r="FY74" s="137"/>
      <c r="FZ74" s="137"/>
      <c r="GA74" s="137"/>
      <c r="GB74" s="137"/>
      <c r="GC74" s="137"/>
      <c r="GD74" s="137"/>
      <c r="GE74" s="137"/>
      <c r="GF74" s="137"/>
      <c r="GG74" s="137"/>
      <c r="GH74" s="137"/>
      <c r="GI74" s="137"/>
      <c r="GJ74" s="137"/>
      <c r="GK74" s="137"/>
      <c r="GL74" s="137"/>
      <c r="GM74" s="137"/>
      <c r="GN74" s="137"/>
      <c r="GO74" s="137"/>
      <c r="GP74" s="137"/>
      <c r="GQ74" s="137"/>
      <c r="GR74" s="137"/>
      <c r="GS74" s="137"/>
      <c r="GT74" s="137"/>
      <c r="GU74" s="137"/>
      <c r="GV74" s="137"/>
      <c r="GW74" s="137"/>
      <c r="GX74" s="137"/>
      <c r="GY74" s="137"/>
      <c r="GZ74" s="137"/>
      <c r="HA74" s="137"/>
      <c r="HB74" s="137"/>
      <c r="HC74" s="137"/>
      <c r="HD74" s="137"/>
      <c r="HE74" s="137"/>
      <c r="HF74" s="137"/>
      <c r="HG74" s="137"/>
      <c r="HH74" s="137"/>
      <c r="HI74" s="137"/>
      <c r="HJ74" s="137"/>
      <c r="HK74" s="137"/>
      <c r="HL74" s="137"/>
      <c r="HM74" s="137"/>
      <c r="HN74" s="137"/>
      <c r="HO74" s="137"/>
      <c r="HP74" s="137"/>
      <c r="HQ74" s="137"/>
      <c r="HR74" s="137"/>
      <c r="HS74" s="137"/>
      <c r="HT74" s="137"/>
      <c r="HU74" s="137"/>
      <c r="HV74" s="137"/>
      <c r="HW74" s="137"/>
      <c r="HX74" s="137"/>
      <c r="HY74" s="137"/>
      <c r="HZ74" s="137"/>
      <c r="IA74" s="137"/>
      <c r="IB74" s="137"/>
      <c r="IC74" s="137"/>
      <c r="ID74" s="137"/>
      <c r="IE74" s="137"/>
      <c r="IF74" s="137"/>
      <c r="IG74" s="137"/>
      <c r="IH74" s="137"/>
      <c r="II74" s="137"/>
      <c r="IJ74" s="137"/>
      <c r="IK74" s="137"/>
      <c r="IL74" s="137"/>
      <c r="IM74" s="137"/>
      <c r="IN74" s="137"/>
      <c r="IO74" s="137"/>
      <c r="IP74" s="137"/>
      <c r="IQ74" s="137"/>
      <c r="IR74" s="137"/>
      <c r="IS74" s="137"/>
      <c r="IT74" s="137"/>
      <c r="IU74" s="137"/>
      <c r="IV74" s="137"/>
    </row>
    <row r="75" spans="1:256" ht="13.5" thickBot="1">
      <c r="A75" s="211"/>
      <c r="B75" s="187"/>
      <c r="C75" s="188"/>
      <c r="D75" s="189"/>
      <c r="E75" s="189">
        <v>4223</v>
      </c>
      <c r="F75" s="183" t="s">
        <v>147</v>
      </c>
      <c r="G75" s="212" t="s">
        <v>148</v>
      </c>
      <c r="H75" s="119">
        <v>0</v>
      </c>
      <c r="I75" s="129">
        <v>2000</v>
      </c>
      <c r="J75" s="207"/>
      <c r="K75" s="43">
        <f>I75+J75</f>
        <v>2000</v>
      </c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  <c r="CD75" s="137"/>
      <c r="CE75" s="137"/>
      <c r="CF75" s="137"/>
      <c r="CG75" s="137"/>
      <c r="CH75" s="137"/>
      <c r="CI75" s="137"/>
      <c r="CJ75" s="137"/>
      <c r="CK75" s="137"/>
      <c r="CL75" s="137"/>
      <c r="CM75" s="137"/>
      <c r="CN75" s="137"/>
      <c r="CO75" s="137"/>
      <c r="CP75" s="137"/>
      <c r="CQ75" s="137"/>
      <c r="CR75" s="137"/>
      <c r="CS75" s="137"/>
      <c r="CT75" s="137"/>
      <c r="CU75" s="137"/>
      <c r="CV75" s="137"/>
      <c r="CW75" s="137"/>
      <c r="CX75" s="137"/>
      <c r="CY75" s="137"/>
      <c r="CZ75" s="137"/>
      <c r="DA75" s="137"/>
      <c r="DB75" s="137"/>
      <c r="DC75" s="137"/>
      <c r="DD75" s="137"/>
      <c r="DE75" s="137"/>
      <c r="DF75" s="137"/>
      <c r="DG75" s="137"/>
      <c r="DH75" s="137"/>
      <c r="DI75" s="137"/>
      <c r="DJ75" s="137"/>
      <c r="DK75" s="137"/>
      <c r="DL75" s="137"/>
      <c r="DM75" s="137"/>
      <c r="DN75" s="137"/>
      <c r="DO75" s="137"/>
      <c r="DP75" s="137"/>
      <c r="DQ75" s="137"/>
      <c r="DR75" s="137"/>
      <c r="DS75" s="137"/>
      <c r="DT75" s="137"/>
      <c r="DU75" s="137"/>
      <c r="DV75" s="137"/>
      <c r="DW75" s="137"/>
      <c r="DX75" s="137"/>
      <c r="DY75" s="137"/>
      <c r="DZ75" s="137"/>
      <c r="EA75" s="137"/>
      <c r="EB75" s="137"/>
      <c r="EC75" s="137"/>
      <c r="ED75" s="137"/>
      <c r="EE75" s="137"/>
      <c r="EF75" s="137"/>
      <c r="EG75" s="137"/>
      <c r="EH75" s="137"/>
      <c r="EI75" s="137"/>
      <c r="EJ75" s="137"/>
      <c r="EK75" s="137"/>
      <c r="EL75" s="137"/>
      <c r="EM75" s="137"/>
      <c r="EN75" s="137"/>
      <c r="EO75" s="137"/>
      <c r="EP75" s="137"/>
      <c r="EQ75" s="137"/>
      <c r="ER75" s="137"/>
      <c r="ES75" s="137"/>
      <c r="ET75" s="137"/>
      <c r="EU75" s="137"/>
      <c r="EV75" s="137"/>
      <c r="EW75" s="137"/>
      <c r="EX75" s="137"/>
      <c r="EY75" s="137"/>
      <c r="EZ75" s="137"/>
      <c r="FA75" s="137"/>
      <c r="FB75" s="137"/>
      <c r="FC75" s="137"/>
      <c r="FD75" s="137"/>
      <c r="FE75" s="137"/>
      <c r="FF75" s="137"/>
      <c r="FG75" s="137"/>
      <c r="FH75" s="137"/>
      <c r="FI75" s="137"/>
      <c r="FJ75" s="137"/>
      <c r="FK75" s="137"/>
      <c r="FL75" s="137"/>
      <c r="FM75" s="137"/>
      <c r="FN75" s="137"/>
      <c r="FO75" s="137"/>
      <c r="FP75" s="137"/>
      <c r="FQ75" s="137"/>
      <c r="FR75" s="137"/>
      <c r="FS75" s="137"/>
      <c r="FT75" s="137"/>
      <c r="FU75" s="137"/>
      <c r="FV75" s="137"/>
      <c r="FW75" s="137"/>
      <c r="FX75" s="137"/>
      <c r="FY75" s="137"/>
      <c r="FZ75" s="137"/>
      <c r="GA75" s="137"/>
      <c r="GB75" s="137"/>
      <c r="GC75" s="137"/>
      <c r="GD75" s="137"/>
      <c r="GE75" s="137"/>
      <c r="GF75" s="137"/>
      <c r="GG75" s="137"/>
      <c r="GH75" s="137"/>
      <c r="GI75" s="137"/>
      <c r="GJ75" s="137"/>
      <c r="GK75" s="137"/>
      <c r="GL75" s="137"/>
      <c r="GM75" s="137"/>
      <c r="GN75" s="137"/>
      <c r="GO75" s="137"/>
      <c r="GP75" s="137"/>
      <c r="GQ75" s="137"/>
      <c r="GR75" s="137"/>
      <c r="GS75" s="137"/>
      <c r="GT75" s="137"/>
      <c r="GU75" s="137"/>
      <c r="GV75" s="137"/>
      <c r="GW75" s="137"/>
      <c r="GX75" s="137"/>
      <c r="GY75" s="137"/>
      <c r="GZ75" s="137"/>
      <c r="HA75" s="137"/>
      <c r="HB75" s="137"/>
      <c r="HC75" s="137"/>
      <c r="HD75" s="137"/>
      <c r="HE75" s="137"/>
      <c r="HF75" s="137"/>
      <c r="HG75" s="137"/>
      <c r="HH75" s="137"/>
      <c r="HI75" s="137"/>
      <c r="HJ75" s="137"/>
      <c r="HK75" s="137"/>
      <c r="HL75" s="137"/>
      <c r="HM75" s="137"/>
      <c r="HN75" s="137"/>
      <c r="HO75" s="137"/>
      <c r="HP75" s="137"/>
      <c r="HQ75" s="137"/>
      <c r="HR75" s="137"/>
      <c r="HS75" s="137"/>
      <c r="HT75" s="137"/>
      <c r="HU75" s="137"/>
      <c r="HV75" s="137"/>
      <c r="HW75" s="137"/>
      <c r="HX75" s="137"/>
      <c r="HY75" s="137"/>
      <c r="HZ75" s="137"/>
      <c r="IA75" s="137"/>
      <c r="IB75" s="137"/>
      <c r="IC75" s="137"/>
      <c r="ID75" s="137"/>
      <c r="IE75" s="137"/>
      <c r="IF75" s="137"/>
      <c r="IG75" s="137"/>
      <c r="IH75" s="137"/>
      <c r="II75" s="137"/>
      <c r="IJ75" s="137"/>
      <c r="IK75" s="137"/>
      <c r="IL75" s="137"/>
      <c r="IM75" s="137"/>
      <c r="IN75" s="137"/>
      <c r="IO75" s="137"/>
      <c r="IP75" s="137"/>
      <c r="IQ75" s="137"/>
      <c r="IR75" s="137"/>
      <c r="IS75" s="137"/>
      <c r="IT75" s="137"/>
      <c r="IU75" s="137"/>
      <c r="IV75" s="137"/>
    </row>
    <row r="76" spans="1:256" ht="12.75">
      <c r="A76" s="208" t="s">
        <v>100</v>
      </c>
      <c r="B76" s="132" t="s">
        <v>5</v>
      </c>
      <c r="C76" s="209" t="s">
        <v>160</v>
      </c>
      <c r="D76" s="132" t="s">
        <v>3</v>
      </c>
      <c r="E76" s="132" t="s">
        <v>3</v>
      </c>
      <c r="F76" s="107" t="s">
        <v>3</v>
      </c>
      <c r="G76" s="213" t="s">
        <v>161</v>
      </c>
      <c r="H76" s="210">
        <f>SUM(H77:H77)</f>
        <v>0</v>
      </c>
      <c r="I76" s="165">
        <f>SUM(I77:I77)</f>
        <v>9000</v>
      </c>
      <c r="J76" s="166">
        <f>SUM(J77:J77)</f>
        <v>0</v>
      </c>
      <c r="K76" s="210">
        <f>SUM(K77:K77)</f>
        <v>9000</v>
      </c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7"/>
      <c r="DE76" s="137"/>
      <c r="DF76" s="137"/>
      <c r="DG76" s="137"/>
      <c r="DH76" s="137"/>
      <c r="DI76" s="137"/>
      <c r="DJ76" s="137"/>
      <c r="DK76" s="137"/>
      <c r="DL76" s="137"/>
      <c r="DM76" s="137"/>
      <c r="DN76" s="137"/>
      <c r="DO76" s="137"/>
      <c r="DP76" s="137"/>
      <c r="DQ76" s="137"/>
      <c r="DR76" s="137"/>
      <c r="DS76" s="137"/>
      <c r="DT76" s="137"/>
      <c r="DU76" s="137"/>
      <c r="DV76" s="137"/>
      <c r="DW76" s="137"/>
      <c r="DX76" s="137"/>
      <c r="DY76" s="137"/>
      <c r="DZ76" s="137"/>
      <c r="EA76" s="137"/>
      <c r="EB76" s="137"/>
      <c r="EC76" s="137"/>
      <c r="ED76" s="137"/>
      <c r="EE76" s="137"/>
      <c r="EF76" s="137"/>
      <c r="EG76" s="137"/>
      <c r="EH76" s="137"/>
      <c r="EI76" s="137"/>
      <c r="EJ76" s="137"/>
      <c r="EK76" s="137"/>
      <c r="EL76" s="137"/>
      <c r="EM76" s="137"/>
      <c r="EN76" s="137"/>
      <c r="EO76" s="137"/>
      <c r="EP76" s="137"/>
      <c r="EQ76" s="137"/>
      <c r="ER76" s="137"/>
      <c r="ES76" s="137"/>
      <c r="ET76" s="137"/>
      <c r="EU76" s="137"/>
      <c r="EV76" s="137"/>
      <c r="EW76" s="137"/>
      <c r="EX76" s="137"/>
      <c r="EY76" s="137"/>
      <c r="EZ76" s="137"/>
      <c r="FA76" s="137"/>
      <c r="FB76" s="137"/>
      <c r="FC76" s="137"/>
      <c r="FD76" s="137"/>
      <c r="FE76" s="137"/>
      <c r="FF76" s="137"/>
      <c r="FG76" s="137"/>
      <c r="FH76" s="137"/>
      <c r="FI76" s="137"/>
      <c r="FJ76" s="137"/>
      <c r="FK76" s="137"/>
      <c r="FL76" s="137"/>
      <c r="FM76" s="137"/>
      <c r="FN76" s="137"/>
      <c r="FO76" s="137"/>
      <c r="FP76" s="137"/>
      <c r="FQ76" s="137"/>
      <c r="FR76" s="137"/>
      <c r="FS76" s="137"/>
      <c r="FT76" s="137"/>
      <c r="FU76" s="137"/>
      <c r="FV76" s="137"/>
      <c r="FW76" s="137"/>
      <c r="FX76" s="137"/>
      <c r="FY76" s="137"/>
      <c r="FZ76" s="137"/>
      <c r="GA76" s="137"/>
      <c r="GB76" s="137"/>
      <c r="GC76" s="137"/>
      <c r="GD76" s="137"/>
      <c r="GE76" s="137"/>
      <c r="GF76" s="137"/>
      <c r="GG76" s="137"/>
      <c r="GH76" s="137"/>
      <c r="GI76" s="137"/>
      <c r="GJ76" s="137"/>
      <c r="GK76" s="137"/>
      <c r="GL76" s="137"/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7"/>
      <c r="HA76" s="137"/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7"/>
      <c r="HP76" s="137"/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7"/>
      <c r="IE76" s="137"/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7"/>
      <c r="IT76" s="137"/>
      <c r="IU76" s="137"/>
      <c r="IV76" s="137"/>
    </row>
    <row r="77" spans="1:256" ht="13.5" thickBot="1">
      <c r="A77" s="211"/>
      <c r="B77" s="187"/>
      <c r="C77" s="188"/>
      <c r="D77" s="189"/>
      <c r="E77" s="189">
        <v>4223</v>
      </c>
      <c r="F77" s="183" t="s">
        <v>147</v>
      </c>
      <c r="G77" s="212" t="s">
        <v>148</v>
      </c>
      <c r="H77" s="119">
        <v>0</v>
      </c>
      <c r="I77" s="129">
        <v>9000</v>
      </c>
      <c r="J77" s="207"/>
      <c r="K77" s="43">
        <f>I77+J77</f>
        <v>9000</v>
      </c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7"/>
      <c r="CM77" s="137"/>
      <c r="CN77" s="137"/>
      <c r="CO77" s="137"/>
      <c r="CP77" s="137"/>
      <c r="CQ77" s="137"/>
      <c r="CR77" s="137"/>
      <c r="CS77" s="137"/>
      <c r="CT77" s="137"/>
      <c r="CU77" s="137"/>
      <c r="CV77" s="137"/>
      <c r="CW77" s="137"/>
      <c r="CX77" s="137"/>
      <c r="CY77" s="137"/>
      <c r="CZ77" s="137"/>
      <c r="DA77" s="137"/>
      <c r="DB77" s="137"/>
      <c r="DC77" s="137"/>
      <c r="DD77" s="137"/>
      <c r="DE77" s="137"/>
      <c r="DF77" s="137"/>
      <c r="DG77" s="137"/>
      <c r="DH77" s="137"/>
      <c r="DI77" s="137"/>
      <c r="DJ77" s="137"/>
      <c r="DK77" s="137"/>
      <c r="DL77" s="137"/>
      <c r="DM77" s="137"/>
      <c r="DN77" s="137"/>
      <c r="DO77" s="137"/>
      <c r="DP77" s="137"/>
      <c r="DQ77" s="137"/>
      <c r="DR77" s="137"/>
      <c r="DS77" s="137"/>
      <c r="DT77" s="137"/>
      <c r="DU77" s="137"/>
      <c r="DV77" s="137"/>
      <c r="DW77" s="137"/>
      <c r="DX77" s="137"/>
      <c r="DY77" s="137"/>
      <c r="DZ77" s="137"/>
      <c r="EA77" s="137"/>
      <c r="EB77" s="137"/>
      <c r="EC77" s="137"/>
      <c r="ED77" s="137"/>
      <c r="EE77" s="137"/>
      <c r="EF77" s="137"/>
      <c r="EG77" s="137"/>
      <c r="EH77" s="137"/>
      <c r="EI77" s="137"/>
      <c r="EJ77" s="137"/>
      <c r="EK77" s="137"/>
      <c r="EL77" s="137"/>
      <c r="EM77" s="137"/>
      <c r="EN77" s="137"/>
      <c r="EO77" s="137"/>
      <c r="EP77" s="137"/>
      <c r="EQ77" s="137"/>
      <c r="ER77" s="137"/>
      <c r="ES77" s="137"/>
      <c r="ET77" s="137"/>
      <c r="EU77" s="137"/>
      <c r="EV77" s="137"/>
      <c r="EW77" s="137"/>
      <c r="EX77" s="137"/>
      <c r="EY77" s="137"/>
      <c r="EZ77" s="137"/>
      <c r="FA77" s="137"/>
      <c r="FB77" s="137"/>
      <c r="FC77" s="137"/>
      <c r="FD77" s="137"/>
      <c r="FE77" s="137"/>
      <c r="FF77" s="137"/>
      <c r="FG77" s="137"/>
      <c r="FH77" s="137"/>
      <c r="FI77" s="137"/>
      <c r="FJ77" s="137"/>
      <c r="FK77" s="137"/>
      <c r="FL77" s="137"/>
      <c r="FM77" s="137"/>
      <c r="FN77" s="137"/>
      <c r="FO77" s="137"/>
      <c r="FP77" s="137"/>
      <c r="FQ77" s="137"/>
      <c r="FR77" s="137"/>
      <c r="FS77" s="137"/>
      <c r="FT77" s="137"/>
      <c r="FU77" s="137"/>
      <c r="FV77" s="137"/>
      <c r="FW77" s="137"/>
      <c r="FX77" s="137"/>
      <c r="FY77" s="137"/>
      <c r="FZ77" s="137"/>
      <c r="GA77" s="137"/>
      <c r="GB77" s="137"/>
      <c r="GC77" s="137"/>
      <c r="GD77" s="137"/>
      <c r="GE77" s="137"/>
      <c r="GF77" s="137"/>
      <c r="GG77" s="137"/>
      <c r="GH77" s="137"/>
      <c r="GI77" s="137"/>
      <c r="GJ77" s="137"/>
      <c r="GK77" s="137"/>
      <c r="GL77" s="137"/>
      <c r="GM77" s="137"/>
      <c r="GN77" s="137"/>
      <c r="GO77" s="137"/>
      <c r="GP77" s="137"/>
      <c r="GQ77" s="137"/>
      <c r="GR77" s="137"/>
      <c r="GS77" s="137"/>
      <c r="GT77" s="137"/>
      <c r="GU77" s="137"/>
      <c r="GV77" s="137"/>
      <c r="GW77" s="137"/>
      <c r="GX77" s="137"/>
      <c r="GY77" s="137"/>
      <c r="GZ77" s="137"/>
      <c r="HA77" s="137"/>
      <c r="HB77" s="137"/>
      <c r="HC77" s="137"/>
      <c r="HD77" s="137"/>
      <c r="HE77" s="137"/>
      <c r="HF77" s="137"/>
      <c r="HG77" s="137"/>
      <c r="HH77" s="137"/>
      <c r="HI77" s="137"/>
      <c r="HJ77" s="137"/>
      <c r="HK77" s="137"/>
      <c r="HL77" s="137"/>
      <c r="HM77" s="137"/>
      <c r="HN77" s="137"/>
      <c r="HO77" s="137"/>
      <c r="HP77" s="137"/>
      <c r="HQ77" s="137"/>
      <c r="HR77" s="137"/>
      <c r="HS77" s="137"/>
      <c r="HT77" s="137"/>
      <c r="HU77" s="137"/>
      <c r="HV77" s="137"/>
      <c r="HW77" s="137"/>
      <c r="HX77" s="137"/>
      <c r="HY77" s="137"/>
      <c r="HZ77" s="137"/>
      <c r="IA77" s="137"/>
      <c r="IB77" s="137"/>
      <c r="IC77" s="137"/>
      <c r="ID77" s="137"/>
      <c r="IE77" s="137"/>
      <c r="IF77" s="137"/>
      <c r="IG77" s="137"/>
      <c r="IH77" s="137"/>
      <c r="II77" s="137"/>
      <c r="IJ77" s="137"/>
      <c r="IK77" s="137"/>
      <c r="IL77" s="137"/>
      <c r="IM77" s="137"/>
      <c r="IN77" s="137"/>
      <c r="IO77" s="137"/>
      <c r="IP77" s="137"/>
      <c r="IQ77" s="137"/>
      <c r="IR77" s="137"/>
      <c r="IS77" s="137"/>
      <c r="IT77" s="137"/>
      <c r="IU77" s="137"/>
      <c r="IV77" s="137"/>
    </row>
    <row r="78" spans="1:256" ht="12.75">
      <c r="A78" s="208" t="s">
        <v>100</v>
      </c>
      <c r="B78" s="132" t="s">
        <v>5</v>
      </c>
      <c r="C78" s="209" t="s">
        <v>162</v>
      </c>
      <c r="D78" s="132" t="s">
        <v>3</v>
      </c>
      <c r="E78" s="132" t="s">
        <v>3</v>
      </c>
      <c r="F78" s="107" t="s">
        <v>3</v>
      </c>
      <c r="G78" s="213" t="s">
        <v>163</v>
      </c>
      <c r="H78" s="210">
        <f>SUM(H79:H79)</f>
        <v>0</v>
      </c>
      <c r="I78" s="165">
        <f>SUM(I79:I79)</f>
        <v>13000</v>
      </c>
      <c r="J78" s="166">
        <f>SUM(J79:J79)</f>
        <v>0</v>
      </c>
      <c r="K78" s="210">
        <f>SUM(K79:K79)</f>
        <v>13000</v>
      </c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7"/>
      <c r="DE78" s="137"/>
      <c r="DF78" s="137"/>
      <c r="DG78" s="137"/>
      <c r="DH78" s="137"/>
      <c r="DI78" s="137"/>
      <c r="DJ78" s="137"/>
      <c r="DK78" s="137"/>
      <c r="DL78" s="137"/>
      <c r="DM78" s="137"/>
      <c r="DN78" s="137"/>
      <c r="DO78" s="137"/>
      <c r="DP78" s="137"/>
      <c r="DQ78" s="137"/>
      <c r="DR78" s="137"/>
      <c r="DS78" s="137"/>
      <c r="DT78" s="137"/>
      <c r="DU78" s="137"/>
      <c r="DV78" s="137"/>
      <c r="DW78" s="137"/>
      <c r="DX78" s="137"/>
      <c r="DY78" s="137"/>
      <c r="DZ78" s="137"/>
      <c r="EA78" s="137"/>
      <c r="EB78" s="137"/>
      <c r="EC78" s="137"/>
      <c r="ED78" s="137"/>
      <c r="EE78" s="137"/>
      <c r="EF78" s="137"/>
      <c r="EG78" s="137"/>
      <c r="EH78" s="137"/>
      <c r="EI78" s="137"/>
      <c r="EJ78" s="137"/>
      <c r="EK78" s="137"/>
      <c r="EL78" s="137"/>
      <c r="EM78" s="137"/>
      <c r="EN78" s="137"/>
      <c r="EO78" s="137"/>
      <c r="EP78" s="137"/>
      <c r="EQ78" s="137"/>
      <c r="ER78" s="137"/>
      <c r="ES78" s="137"/>
      <c r="ET78" s="137"/>
      <c r="EU78" s="137"/>
      <c r="EV78" s="137"/>
      <c r="EW78" s="137"/>
      <c r="EX78" s="137"/>
      <c r="EY78" s="137"/>
      <c r="EZ78" s="137"/>
      <c r="FA78" s="137"/>
      <c r="FB78" s="137"/>
      <c r="FC78" s="137"/>
      <c r="FD78" s="137"/>
      <c r="FE78" s="137"/>
      <c r="FF78" s="137"/>
      <c r="FG78" s="137"/>
      <c r="FH78" s="137"/>
      <c r="FI78" s="137"/>
      <c r="FJ78" s="137"/>
      <c r="FK78" s="137"/>
      <c r="FL78" s="137"/>
      <c r="FM78" s="137"/>
      <c r="FN78" s="137"/>
      <c r="FO78" s="137"/>
      <c r="FP78" s="137"/>
      <c r="FQ78" s="137"/>
      <c r="FR78" s="137"/>
      <c r="FS78" s="137"/>
      <c r="FT78" s="137"/>
      <c r="FU78" s="137"/>
      <c r="FV78" s="137"/>
      <c r="FW78" s="137"/>
      <c r="FX78" s="137"/>
      <c r="FY78" s="137"/>
      <c r="FZ78" s="137"/>
      <c r="GA78" s="137"/>
      <c r="GB78" s="137"/>
      <c r="GC78" s="137"/>
      <c r="GD78" s="137"/>
      <c r="GE78" s="137"/>
      <c r="GF78" s="137"/>
      <c r="GG78" s="137"/>
      <c r="GH78" s="137"/>
      <c r="GI78" s="137"/>
      <c r="GJ78" s="137"/>
      <c r="GK78" s="137"/>
      <c r="GL78" s="137"/>
      <c r="GM78" s="137"/>
      <c r="GN78" s="137"/>
      <c r="GO78" s="137"/>
      <c r="GP78" s="137"/>
      <c r="GQ78" s="137"/>
      <c r="GR78" s="137"/>
      <c r="GS78" s="137"/>
      <c r="GT78" s="137"/>
      <c r="GU78" s="137"/>
      <c r="GV78" s="137"/>
      <c r="GW78" s="137"/>
      <c r="GX78" s="137"/>
      <c r="GY78" s="137"/>
      <c r="GZ78" s="137"/>
      <c r="HA78" s="137"/>
      <c r="HB78" s="137"/>
      <c r="HC78" s="137"/>
      <c r="HD78" s="137"/>
      <c r="HE78" s="137"/>
      <c r="HF78" s="137"/>
      <c r="HG78" s="137"/>
      <c r="HH78" s="137"/>
      <c r="HI78" s="137"/>
      <c r="HJ78" s="137"/>
      <c r="HK78" s="137"/>
      <c r="HL78" s="137"/>
      <c r="HM78" s="137"/>
      <c r="HN78" s="137"/>
      <c r="HO78" s="137"/>
      <c r="HP78" s="137"/>
      <c r="HQ78" s="137"/>
      <c r="HR78" s="137"/>
      <c r="HS78" s="137"/>
      <c r="HT78" s="137"/>
      <c r="HU78" s="137"/>
      <c r="HV78" s="137"/>
      <c r="HW78" s="137"/>
      <c r="HX78" s="137"/>
      <c r="HY78" s="137"/>
      <c r="HZ78" s="137"/>
      <c r="IA78" s="137"/>
      <c r="IB78" s="137"/>
      <c r="IC78" s="137"/>
      <c r="ID78" s="137"/>
      <c r="IE78" s="137"/>
      <c r="IF78" s="137"/>
      <c r="IG78" s="137"/>
      <c r="IH78" s="137"/>
      <c r="II78" s="137"/>
      <c r="IJ78" s="137"/>
      <c r="IK78" s="137"/>
      <c r="IL78" s="137"/>
      <c r="IM78" s="137"/>
      <c r="IN78" s="137"/>
      <c r="IO78" s="137"/>
      <c r="IP78" s="137"/>
      <c r="IQ78" s="137"/>
      <c r="IR78" s="137"/>
      <c r="IS78" s="137"/>
      <c r="IT78" s="137"/>
      <c r="IU78" s="137"/>
      <c r="IV78" s="137"/>
    </row>
    <row r="79" spans="1:256" ht="13.5" thickBot="1">
      <c r="A79" s="211"/>
      <c r="B79" s="187"/>
      <c r="C79" s="188"/>
      <c r="D79" s="189"/>
      <c r="E79" s="189">
        <v>4223</v>
      </c>
      <c r="F79" s="183" t="s">
        <v>147</v>
      </c>
      <c r="G79" s="212" t="s">
        <v>148</v>
      </c>
      <c r="H79" s="119">
        <v>0</v>
      </c>
      <c r="I79" s="129">
        <v>13000</v>
      </c>
      <c r="J79" s="207"/>
      <c r="K79" s="43">
        <f>I79+J79</f>
        <v>13000</v>
      </c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37"/>
      <c r="CV79" s="137"/>
      <c r="CW79" s="137"/>
      <c r="CX79" s="137"/>
      <c r="CY79" s="137"/>
      <c r="CZ79" s="137"/>
      <c r="DA79" s="137"/>
      <c r="DB79" s="137"/>
      <c r="DC79" s="137"/>
      <c r="DD79" s="137"/>
      <c r="DE79" s="137"/>
      <c r="DF79" s="137"/>
      <c r="DG79" s="137"/>
      <c r="DH79" s="137"/>
      <c r="DI79" s="137"/>
      <c r="DJ79" s="137"/>
      <c r="DK79" s="137"/>
      <c r="DL79" s="137"/>
      <c r="DM79" s="137"/>
      <c r="DN79" s="137"/>
      <c r="DO79" s="137"/>
      <c r="DP79" s="137"/>
      <c r="DQ79" s="137"/>
      <c r="DR79" s="137"/>
      <c r="DS79" s="137"/>
      <c r="DT79" s="137"/>
      <c r="DU79" s="137"/>
      <c r="DV79" s="137"/>
      <c r="DW79" s="137"/>
      <c r="DX79" s="137"/>
      <c r="DY79" s="137"/>
      <c r="DZ79" s="137"/>
      <c r="EA79" s="137"/>
      <c r="EB79" s="137"/>
      <c r="EC79" s="137"/>
      <c r="ED79" s="137"/>
      <c r="EE79" s="137"/>
      <c r="EF79" s="137"/>
      <c r="EG79" s="137"/>
      <c r="EH79" s="137"/>
      <c r="EI79" s="137"/>
      <c r="EJ79" s="137"/>
      <c r="EK79" s="137"/>
      <c r="EL79" s="137"/>
      <c r="EM79" s="137"/>
      <c r="EN79" s="137"/>
      <c r="EO79" s="137"/>
      <c r="EP79" s="137"/>
      <c r="EQ79" s="137"/>
      <c r="ER79" s="137"/>
      <c r="ES79" s="137"/>
      <c r="ET79" s="137"/>
      <c r="EU79" s="137"/>
      <c r="EV79" s="137"/>
      <c r="EW79" s="137"/>
      <c r="EX79" s="137"/>
      <c r="EY79" s="137"/>
      <c r="EZ79" s="137"/>
      <c r="FA79" s="137"/>
      <c r="FB79" s="137"/>
      <c r="FC79" s="137"/>
      <c r="FD79" s="137"/>
      <c r="FE79" s="137"/>
      <c r="FF79" s="137"/>
      <c r="FG79" s="137"/>
      <c r="FH79" s="137"/>
      <c r="FI79" s="137"/>
      <c r="FJ79" s="137"/>
      <c r="FK79" s="137"/>
      <c r="FL79" s="137"/>
      <c r="FM79" s="137"/>
      <c r="FN79" s="137"/>
      <c r="FO79" s="137"/>
      <c r="FP79" s="137"/>
      <c r="FQ79" s="137"/>
      <c r="FR79" s="137"/>
      <c r="FS79" s="137"/>
      <c r="FT79" s="137"/>
      <c r="FU79" s="137"/>
      <c r="FV79" s="137"/>
      <c r="FW79" s="137"/>
      <c r="FX79" s="137"/>
      <c r="FY79" s="137"/>
      <c r="FZ79" s="137"/>
      <c r="GA79" s="137"/>
      <c r="GB79" s="137"/>
      <c r="GC79" s="137"/>
      <c r="GD79" s="137"/>
      <c r="GE79" s="137"/>
      <c r="GF79" s="137"/>
      <c r="GG79" s="137"/>
      <c r="GH79" s="137"/>
      <c r="GI79" s="137"/>
      <c r="GJ79" s="137"/>
      <c r="GK79" s="137"/>
      <c r="GL79" s="137"/>
      <c r="GM79" s="137"/>
      <c r="GN79" s="137"/>
      <c r="GO79" s="137"/>
      <c r="GP79" s="137"/>
      <c r="GQ79" s="137"/>
      <c r="GR79" s="137"/>
      <c r="GS79" s="137"/>
      <c r="GT79" s="137"/>
      <c r="GU79" s="137"/>
      <c r="GV79" s="137"/>
      <c r="GW79" s="137"/>
      <c r="GX79" s="137"/>
      <c r="GY79" s="137"/>
      <c r="GZ79" s="137"/>
      <c r="HA79" s="137"/>
      <c r="HB79" s="137"/>
      <c r="HC79" s="137"/>
      <c r="HD79" s="137"/>
      <c r="HE79" s="137"/>
      <c r="HF79" s="137"/>
      <c r="HG79" s="137"/>
      <c r="HH79" s="137"/>
      <c r="HI79" s="137"/>
      <c r="HJ79" s="137"/>
      <c r="HK79" s="137"/>
      <c r="HL79" s="137"/>
      <c r="HM79" s="137"/>
      <c r="HN79" s="137"/>
      <c r="HO79" s="137"/>
      <c r="HP79" s="137"/>
      <c r="HQ79" s="137"/>
      <c r="HR79" s="137"/>
      <c r="HS79" s="137"/>
      <c r="HT79" s="137"/>
      <c r="HU79" s="137"/>
      <c r="HV79" s="137"/>
      <c r="HW79" s="137"/>
      <c r="HX79" s="137"/>
      <c r="HY79" s="137"/>
      <c r="HZ79" s="137"/>
      <c r="IA79" s="137"/>
      <c r="IB79" s="137"/>
      <c r="IC79" s="137"/>
      <c r="ID79" s="137"/>
      <c r="IE79" s="137"/>
      <c r="IF79" s="137"/>
      <c r="IG79" s="137"/>
      <c r="IH79" s="137"/>
      <c r="II79" s="137"/>
      <c r="IJ79" s="137"/>
      <c r="IK79" s="137"/>
      <c r="IL79" s="137"/>
      <c r="IM79" s="137"/>
      <c r="IN79" s="137"/>
      <c r="IO79" s="137"/>
      <c r="IP79" s="137"/>
      <c r="IQ79" s="137"/>
      <c r="IR79" s="137"/>
      <c r="IS79" s="137"/>
      <c r="IT79" s="137"/>
      <c r="IU79" s="137"/>
      <c r="IV79" s="137"/>
    </row>
    <row r="80" spans="1:256" ht="12.75">
      <c r="A80" s="208" t="s">
        <v>100</v>
      </c>
      <c r="B80" s="132" t="s">
        <v>5</v>
      </c>
      <c r="C80" s="209" t="s">
        <v>164</v>
      </c>
      <c r="D80" s="132" t="s">
        <v>3</v>
      </c>
      <c r="E80" s="132" t="s">
        <v>3</v>
      </c>
      <c r="F80" s="107" t="s">
        <v>3</v>
      </c>
      <c r="G80" s="213" t="s">
        <v>165</v>
      </c>
      <c r="H80" s="210">
        <f>SUM(H81:H81)</f>
        <v>0</v>
      </c>
      <c r="I80" s="165">
        <f>SUM(I81:I81)</f>
        <v>7000</v>
      </c>
      <c r="J80" s="166">
        <f>SUM(J81:J81)</f>
        <v>0</v>
      </c>
      <c r="K80" s="210">
        <f>SUM(K81:K81)</f>
        <v>7000</v>
      </c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7"/>
      <c r="DE80" s="137"/>
      <c r="DF80" s="137"/>
      <c r="DG80" s="137"/>
      <c r="DH80" s="137"/>
      <c r="DI80" s="137"/>
      <c r="DJ80" s="137"/>
      <c r="DK80" s="137"/>
      <c r="DL80" s="137"/>
      <c r="DM80" s="137"/>
      <c r="DN80" s="137"/>
      <c r="DO80" s="137"/>
      <c r="DP80" s="137"/>
      <c r="DQ80" s="137"/>
      <c r="DR80" s="137"/>
      <c r="DS80" s="137"/>
      <c r="DT80" s="137"/>
      <c r="DU80" s="137"/>
      <c r="DV80" s="137"/>
      <c r="DW80" s="137"/>
      <c r="DX80" s="137"/>
      <c r="DY80" s="137"/>
      <c r="DZ80" s="137"/>
      <c r="EA80" s="137"/>
      <c r="EB80" s="137"/>
      <c r="EC80" s="137"/>
      <c r="ED80" s="137"/>
      <c r="EE80" s="137"/>
      <c r="EF80" s="137"/>
      <c r="EG80" s="137"/>
      <c r="EH80" s="137"/>
      <c r="EI80" s="137"/>
      <c r="EJ80" s="137"/>
      <c r="EK80" s="137"/>
      <c r="EL80" s="137"/>
      <c r="EM80" s="137"/>
      <c r="EN80" s="137"/>
      <c r="EO80" s="137"/>
      <c r="EP80" s="137"/>
      <c r="EQ80" s="137"/>
      <c r="ER80" s="137"/>
      <c r="ES80" s="137"/>
      <c r="ET80" s="137"/>
      <c r="EU80" s="137"/>
      <c r="EV80" s="137"/>
      <c r="EW80" s="137"/>
      <c r="EX80" s="137"/>
      <c r="EY80" s="137"/>
      <c r="EZ80" s="137"/>
      <c r="FA80" s="137"/>
      <c r="FB80" s="137"/>
      <c r="FC80" s="137"/>
      <c r="FD80" s="137"/>
      <c r="FE80" s="137"/>
      <c r="FF80" s="137"/>
      <c r="FG80" s="137"/>
      <c r="FH80" s="137"/>
      <c r="FI80" s="137"/>
      <c r="FJ80" s="137"/>
      <c r="FK80" s="137"/>
      <c r="FL80" s="137"/>
      <c r="FM80" s="137"/>
      <c r="FN80" s="137"/>
      <c r="FO80" s="137"/>
      <c r="FP80" s="137"/>
      <c r="FQ80" s="137"/>
      <c r="FR80" s="137"/>
      <c r="FS80" s="137"/>
      <c r="FT80" s="137"/>
      <c r="FU80" s="137"/>
      <c r="FV80" s="137"/>
      <c r="FW80" s="137"/>
      <c r="FX80" s="137"/>
      <c r="FY80" s="137"/>
      <c r="FZ80" s="137"/>
      <c r="GA80" s="137"/>
      <c r="GB80" s="137"/>
      <c r="GC80" s="137"/>
      <c r="GD80" s="137"/>
      <c r="GE80" s="137"/>
      <c r="GF80" s="137"/>
      <c r="GG80" s="137"/>
      <c r="GH80" s="137"/>
      <c r="GI80" s="137"/>
      <c r="GJ80" s="137"/>
      <c r="GK80" s="137"/>
      <c r="GL80" s="137"/>
      <c r="GM80" s="137"/>
      <c r="GN80" s="137"/>
      <c r="GO80" s="137"/>
      <c r="GP80" s="137"/>
      <c r="GQ80" s="137"/>
      <c r="GR80" s="137"/>
      <c r="GS80" s="137"/>
      <c r="GT80" s="137"/>
      <c r="GU80" s="137"/>
      <c r="GV80" s="137"/>
      <c r="GW80" s="137"/>
      <c r="GX80" s="137"/>
      <c r="GY80" s="137"/>
      <c r="GZ80" s="137"/>
      <c r="HA80" s="137"/>
      <c r="HB80" s="137"/>
      <c r="HC80" s="137"/>
      <c r="HD80" s="137"/>
      <c r="HE80" s="137"/>
      <c r="HF80" s="137"/>
      <c r="HG80" s="137"/>
      <c r="HH80" s="137"/>
      <c r="HI80" s="137"/>
      <c r="HJ80" s="137"/>
      <c r="HK80" s="137"/>
      <c r="HL80" s="137"/>
      <c r="HM80" s="137"/>
      <c r="HN80" s="137"/>
      <c r="HO80" s="137"/>
      <c r="HP80" s="137"/>
      <c r="HQ80" s="137"/>
      <c r="HR80" s="137"/>
      <c r="HS80" s="137"/>
      <c r="HT80" s="137"/>
      <c r="HU80" s="137"/>
      <c r="HV80" s="137"/>
      <c r="HW80" s="137"/>
      <c r="HX80" s="137"/>
      <c r="HY80" s="137"/>
      <c r="HZ80" s="137"/>
      <c r="IA80" s="137"/>
      <c r="IB80" s="137"/>
      <c r="IC80" s="137"/>
      <c r="ID80" s="137"/>
      <c r="IE80" s="137"/>
      <c r="IF80" s="137"/>
      <c r="IG80" s="137"/>
      <c r="IH80" s="137"/>
      <c r="II80" s="137"/>
      <c r="IJ80" s="137"/>
      <c r="IK80" s="137"/>
      <c r="IL80" s="137"/>
      <c r="IM80" s="137"/>
      <c r="IN80" s="137"/>
      <c r="IO80" s="137"/>
      <c r="IP80" s="137"/>
      <c r="IQ80" s="137"/>
      <c r="IR80" s="137"/>
      <c r="IS80" s="137"/>
      <c r="IT80" s="137"/>
      <c r="IU80" s="137"/>
      <c r="IV80" s="137"/>
    </row>
    <row r="81" spans="1:256" ht="13.5" thickBot="1">
      <c r="A81" s="211"/>
      <c r="B81" s="187"/>
      <c r="C81" s="188"/>
      <c r="D81" s="189"/>
      <c r="E81" s="189">
        <v>4223</v>
      </c>
      <c r="F81" s="183" t="s">
        <v>147</v>
      </c>
      <c r="G81" s="212" t="s">
        <v>148</v>
      </c>
      <c r="H81" s="119">
        <v>0</v>
      </c>
      <c r="I81" s="129">
        <v>7000</v>
      </c>
      <c r="J81" s="207"/>
      <c r="K81" s="43">
        <f>I81+J81</f>
        <v>7000</v>
      </c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7"/>
      <c r="CM81" s="137"/>
      <c r="CN81" s="137"/>
      <c r="CO81" s="137"/>
      <c r="CP81" s="137"/>
      <c r="CQ81" s="137"/>
      <c r="CR81" s="137"/>
      <c r="CS81" s="137"/>
      <c r="CT81" s="137"/>
      <c r="CU81" s="137"/>
      <c r="CV81" s="137"/>
      <c r="CW81" s="137"/>
      <c r="CX81" s="137"/>
      <c r="CY81" s="137"/>
      <c r="CZ81" s="137"/>
      <c r="DA81" s="137"/>
      <c r="DB81" s="137"/>
      <c r="DC81" s="137"/>
      <c r="DD81" s="137"/>
      <c r="DE81" s="137"/>
      <c r="DF81" s="137"/>
      <c r="DG81" s="137"/>
      <c r="DH81" s="137"/>
      <c r="DI81" s="137"/>
      <c r="DJ81" s="137"/>
      <c r="DK81" s="137"/>
      <c r="DL81" s="137"/>
      <c r="DM81" s="137"/>
      <c r="DN81" s="137"/>
      <c r="DO81" s="137"/>
      <c r="DP81" s="137"/>
      <c r="DQ81" s="137"/>
      <c r="DR81" s="137"/>
      <c r="DS81" s="137"/>
      <c r="DT81" s="137"/>
      <c r="DU81" s="137"/>
      <c r="DV81" s="137"/>
      <c r="DW81" s="137"/>
      <c r="DX81" s="137"/>
      <c r="DY81" s="137"/>
      <c r="DZ81" s="137"/>
      <c r="EA81" s="137"/>
      <c r="EB81" s="137"/>
      <c r="EC81" s="137"/>
      <c r="ED81" s="137"/>
      <c r="EE81" s="137"/>
      <c r="EF81" s="137"/>
      <c r="EG81" s="137"/>
      <c r="EH81" s="137"/>
      <c r="EI81" s="137"/>
      <c r="EJ81" s="137"/>
      <c r="EK81" s="137"/>
      <c r="EL81" s="137"/>
      <c r="EM81" s="137"/>
      <c r="EN81" s="137"/>
      <c r="EO81" s="137"/>
      <c r="EP81" s="137"/>
      <c r="EQ81" s="137"/>
      <c r="ER81" s="137"/>
      <c r="ES81" s="137"/>
      <c r="ET81" s="137"/>
      <c r="EU81" s="137"/>
      <c r="EV81" s="137"/>
      <c r="EW81" s="137"/>
      <c r="EX81" s="137"/>
      <c r="EY81" s="137"/>
      <c r="EZ81" s="137"/>
      <c r="FA81" s="137"/>
      <c r="FB81" s="137"/>
      <c r="FC81" s="137"/>
      <c r="FD81" s="137"/>
      <c r="FE81" s="137"/>
      <c r="FF81" s="137"/>
      <c r="FG81" s="137"/>
      <c r="FH81" s="137"/>
      <c r="FI81" s="137"/>
      <c r="FJ81" s="137"/>
      <c r="FK81" s="137"/>
      <c r="FL81" s="137"/>
      <c r="FM81" s="137"/>
      <c r="FN81" s="137"/>
      <c r="FO81" s="137"/>
      <c r="FP81" s="137"/>
      <c r="FQ81" s="137"/>
      <c r="FR81" s="137"/>
      <c r="FS81" s="137"/>
      <c r="FT81" s="137"/>
      <c r="FU81" s="137"/>
      <c r="FV81" s="137"/>
      <c r="FW81" s="137"/>
      <c r="FX81" s="137"/>
      <c r="FY81" s="137"/>
      <c r="FZ81" s="137"/>
      <c r="GA81" s="137"/>
      <c r="GB81" s="137"/>
      <c r="GC81" s="137"/>
      <c r="GD81" s="137"/>
      <c r="GE81" s="137"/>
      <c r="GF81" s="137"/>
      <c r="GG81" s="137"/>
      <c r="GH81" s="137"/>
      <c r="GI81" s="137"/>
      <c r="GJ81" s="137"/>
      <c r="GK81" s="137"/>
      <c r="GL81" s="137"/>
      <c r="GM81" s="137"/>
      <c r="GN81" s="137"/>
      <c r="GO81" s="137"/>
      <c r="GP81" s="137"/>
      <c r="GQ81" s="137"/>
      <c r="GR81" s="137"/>
      <c r="GS81" s="137"/>
      <c r="GT81" s="137"/>
      <c r="GU81" s="137"/>
      <c r="GV81" s="137"/>
      <c r="GW81" s="137"/>
      <c r="GX81" s="137"/>
      <c r="GY81" s="137"/>
      <c r="GZ81" s="137"/>
      <c r="HA81" s="137"/>
      <c r="HB81" s="137"/>
      <c r="HC81" s="137"/>
      <c r="HD81" s="137"/>
      <c r="HE81" s="137"/>
      <c r="HF81" s="137"/>
      <c r="HG81" s="137"/>
      <c r="HH81" s="137"/>
      <c r="HI81" s="137"/>
      <c r="HJ81" s="137"/>
      <c r="HK81" s="137"/>
      <c r="HL81" s="137"/>
      <c r="HM81" s="137"/>
      <c r="HN81" s="137"/>
      <c r="HO81" s="137"/>
      <c r="HP81" s="137"/>
      <c r="HQ81" s="137"/>
      <c r="HR81" s="137"/>
      <c r="HS81" s="137"/>
      <c r="HT81" s="137"/>
      <c r="HU81" s="137"/>
      <c r="HV81" s="137"/>
      <c r="HW81" s="137"/>
      <c r="HX81" s="137"/>
      <c r="HY81" s="137"/>
      <c r="HZ81" s="137"/>
      <c r="IA81" s="137"/>
      <c r="IB81" s="137"/>
      <c r="IC81" s="137"/>
      <c r="ID81" s="137"/>
      <c r="IE81" s="137"/>
      <c r="IF81" s="137"/>
      <c r="IG81" s="137"/>
      <c r="IH81" s="137"/>
      <c r="II81" s="137"/>
      <c r="IJ81" s="137"/>
      <c r="IK81" s="137"/>
      <c r="IL81" s="137"/>
      <c r="IM81" s="137"/>
      <c r="IN81" s="137"/>
      <c r="IO81" s="137"/>
      <c r="IP81" s="137"/>
      <c r="IQ81" s="137"/>
      <c r="IR81" s="137"/>
      <c r="IS81" s="137"/>
      <c r="IT81" s="137"/>
      <c r="IU81" s="137"/>
      <c r="IV81" s="137"/>
    </row>
    <row r="82" spans="1:256" ht="12.75">
      <c r="A82" s="208" t="s">
        <v>100</v>
      </c>
      <c r="B82" s="132" t="s">
        <v>5</v>
      </c>
      <c r="C82" s="209" t="s">
        <v>166</v>
      </c>
      <c r="D82" s="132" t="s">
        <v>3</v>
      </c>
      <c r="E82" s="132" t="s">
        <v>3</v>
      </c>
      <c r="F82" s="107" t="s">
        <v>3</v>
      </c>
      <c r="G82" s="213" t="s">
        <v>167</v>
      </c>
      <c r="H82" s="210">
        <f>SUM(H83:H83)</f>
        <v>0</v>
      </c>
      <c r="I82" s="165">
        <f>SUM(I83:I83)</f>
        <v>7000</v>
      </c>
      <c r="J82" s="166">
        <f>SUM(J83:J83)</f>
        <v>0</v>
      </c>
      <c r="K82" s="210">
        <f>SUM(K83:K83)</f>
        <v>7000</v>
      </c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  <c r="CL82" s="137"/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7"/>
      <c r="DE82" s="137"/>
      <c r="DF82" s="137"/>
      <c r="DG82" s="137"/>
      <c r="DH82" s="137"/>
      <c r="DI82" s="137"/>
      <c r="DJ82" s="137"/>
      <c r="DK82" s="137"/>
      <c r="DL82" s="137"/>
      <c r="DM82" s="137"/>
      <c r="DN82" s="137"/>
      <c r="DO82" s="137"/>
      <c r="DP82" s="137"/>
      <c r="DQ82" s="137"/>
      <c r="DR82" s="137"/>
      <c r="DS82" s="137"/>
      <c r="DT82" s="137"/>
      <c r="DU82" s="137"/>
      <c r="DV82" s="137"/>
      <c r="DW82" s="137"/>
      <c r="DX82" s="137"/>
      <c r="DY82" s="137"/>
      <c r="DZ82" s="137"/>
      <c r="EA82" s="137"/>
      <c r="EB82" s="137"/>
      <c r="EC82" s="137"/>
      <c r="ED82" s="137"/>
      <c r="EE82" s="137"/>
      <c r="EF82" s="137"/>
      <c r="EG82" s="137"/>
      <c r="EH82" s="137"/>
      <c r="EI82" s="137"/>
      <c r="EJ82" s="137"/>
      <c r="EK82" s="137"/>
      <c r="EL82" s="137"/>
      <c r="EM82" s="137"/>
      <c r="EN82" s="137"/>
      <c r="EO82" s="137"/>
      <c r="EP82" s="137"/>
      <c r="EQ82" s="137"/>
      <c r="ER82" s="137"/>
      <c r="ES82" s="137"/>
      <c r="ET82" s="137"/>
      <c r="EU82" s="137"/>
      <c r="EV82" s="137"/>
      <c r="EW82" s="137"/>
      <c r="EX82" s="137"/>
      <c r="EY82" s="137"/>
      <c r="EZ82" s="137"/>
      <c r="FA82" s="137"/>
      <c r="FB82" s="137"/>
      <c r="FC82" s="137"/>
      <c r="FD82" s="137"/>
      <c r="FE82" s="137"/>
      <c r="FF82" s="137"/>
      <c r="FG82" s="137"/>
      <c r="FH82" s="137"/>
      <c r="FI82" s="137"/>
      <c r="FJ82" s="137"/>
      <c r="FK82" s="137"/>
      <c r="FL82" s="137"/>
      <c r="FM82" s="137"/>
      <c r="FN82" s="137"/>
      <c r="FO82" s="137"/>
      <c r="FP82" s="137"/>
      <c r="FQ82" s="137"/>
      <c r="FR82" s="137"/>
      <c r="FS82" s="137"/>
      <c r="FT82" s="137"/>
      <c r="FU82" s="137"/>
      <c r="FV82" s="137"/>
      <c r="FW82" s="137"/>
      <c r="FX82" s="137"/>
      <c r="FY82" s="137"/>
      <c r="FZ82" s="137"/>
      <c r="GA82" s="137"/>
      <c r="GB82" s="137"/>
      <c r="GC82" s="137"/>
      <c r="GD82" s="137"/>
      <c r="GE82" s="137"/>
      <c r="GF82" s="137"/>
      <c r="GG82" s="137"/>
      <c r="GH82" s="137"/>
      <c r="GI82" s="137"/>
      <c r="GJ82" s="137"/>
      <c r="GK82" s="137"/>
      <c r="GL82" s="137"/>
      <c r="GM82" s="137"/>
      <c r="GN82" s="137"/>
      <c r="GO82" s="137"/>
      <c r="GP82" s="137"/>
      <c r="GQ82" s="137"/>
      <c r="GR82" s="137"/>
      <c r="GS82" s="137"/>
      <c r="GT82" s="137"/>
      <c r="GU82" s="137"/>
      <c r="GV82" s="137"/>
      <c r="GW82" s="137"/>
      <c r="GX82" s="137"/>
      <c r="GY82" s="137"/>
      <c r="GZ82" s="137"/>
      <c r="HA82" s="137"/>
      <c r="HB82" s="137"/>
      <c r="HC82" s="137"/>
      <c r="HD82" s="137"/>
      <c r="HE82" s="137"/>
      <c r="HF82" s="137"/>
      <c r="HG82" s="137"/>
      <c r="HH82" s="137"/>
      <c r="HI82" s="137"/>
      <c r="HJ82" s="137"/>
      <c r="HK82" s="137"/>
      <c r="HL82" s="137"/>
      <c r="HM82" s="137"/>
      <c r="HN82" s="137"/>
      <c r="HO82" s="137"/>
      <c r="HP82" s="137"/>
      <c r="HQ82" s="137"/>
      <c r="HR82" s="137"/>
      <c r="HS82" s="137"/>
      <c r="HT82" s="137"/>
      <c r="HU82" s="137"/>
      <c r="HV82" s="137"/>
      <c r="HW82" s="137"/>
      <c r="HX82" s="137"/>
      <c r="HY82" s="137"/>
      <c r="HZ82" s="137"/>
      <c r="IA82" s="137"/>
      <c r="IB82" s="137"/>
      <c r="IC82" s="137"/>
      <c r="ID82" s="137"/>
      <c r="IE82" s="137"/>
      <c r="IF82" s="137"/>
      <c r="IG82" s="137"/>
      <c r="IH82" s="137"/>
      <c r="II82" s="137"/>
      <c r="IJ82" s="137"/>
      <c r="IK82" s="137"/>
      <c r="IL82" s="137"/>
      <c r="IM82" s="137"/>
      <c r="IN82" s="137"/>
      <c r="IO82" s="137"/>
      <c r="IP82" s="137"/>
      <c r="IQ82" s="137"/>
      <c r="IR82" s="137"/>
      <c r="IS82" s="137"/>
      <c r="IT82" s="137"/>
      <c r="IU82" s="137"/>
      <c r="IV82" s="137"/>
    </row>
    <row r="83" spans="1:256" ht="13.5" thickBot="1">
      <c r="A83" s="211"/>
      <c r="B83" s="187"/>
      <c r="C83" s="188"/>
      <c r="D83" s="189"/>
      <c r="E83" s="189">
        <v>4223</v>
      </c>
      <c r="F83" s="183" t="s">
        <v>147</v>
      </c>
      <c r="G83" s="212" t="s">
        <v>148</v>
      </c>
      <c r="H83" s="119">
        <v>0</v>
      </c>
      <c r="I83" s="129">
        <v>7000</v>
      </c>
      <c r="J83" s="207"/>
      <c r="K83" s="43">
        <f>I83+J83</f>
        <v>7000</v>
      </c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  <c r="CW83" s="137"/>
      <c r="CX83" s="137"/>
      <c r="CY83" s="137"/>
      <c r="CZ83" s="137"/>
      <c r="DA83" s="137"/>
      <c r="DB83" s="137"/>
      <c r="DC83" s="137"/>
      <c r="DD83" s="137"/>
      <c r="DE83" s="137"/>
      <c r="DF83" s="137"/>
      <c r="DG83" s="137"/>
      <c r="DH83" s="137"/>
      <c r="DI83" s="137"/>
      <c r="DJ83" s="137"/>
      <c r="DK83" s="137"/>
      <c r="DL83" s="137"/>
      <c r="DM83" s="137"/>
      <c r="DN83" s="137"/>
      <c r="DO83" s="137"/>
      <c r="DP83" s="137"/>
      <c r="DQ83" s="137"/>
      <c r="DR83" s="137"/>
      <c r="DS83" s="137"/>
      <c r="DT83" s="137"/>
      <c r="DU83" s="137"/>
      <c r="DV83" s="137"/>
      <c r="DW83" s="137"/>
      <c r="DX83" s="137"/>
      <c r="DY83" s="137"/>
      <c r="DZ83" s="137"/>
      <c r="EA83" s="137"/>
      <c r="EB83" s="137"/>
      <c r="EC83" s="137"/>
      <c r="ED83" s="137"/>
      <c r="EE83" s="137"/>
      <c r="EF83" s="137"/>
      <c r="EG83" s="137"/>
      <c r="EH83" s="137"/>
      <c r="EI83" s="137"/>
      <c r="EJ83" s="137"/>
      <c r="EK83" s="137"/>
      <c r="EL83" s="137"/>
      <c r="EM83" s="137"/>
      <c r="EN83" s="137"/>
      <c r="EO83" s="137"/>
      <c r="EP83" s="137"/>
      <c r="EQ83" s="137"/>
      <c r="ER83" s="137"/>
      <c r="ES83" s="137"/>
      <c r="ET83" s="137"/>
      <c r="EU83" s="137"/>
      <c r="EV83" s="137"/>
      <c r="EW83" s="137"/>
      <c r="EX83" s="137"/>
      <c r="EY83" s="137"/>
      <c r="EZ83" s="137"/>
      <c r="FA83" s="137"/>
      <c r="FB83" s="137"/>
      <c r="FC83" s="137"/>
      <c r="FD83" s="137"/>
      <c r="FE83" s="137"/>
      <c r="FF83" s="137"/>
      <c r="FG83" s="137"/>
      <c r="FH83" s="137"/>
      <c r="FI83" s="137"/>
      <c r="FJ83" s="137"/>
      <c r="FK83" s="137"/>
      <c r="FL83" s="137"/>
      <c r="FM83" s="137"/>
      <c r="FN83" s="137"/>
      <c r="FO83" s="137"/>
      <c r="FP83" s="137"/>
      <c r="FQ83" s="137"/>
      <c r="FR83" s="137"/>
      <c r="FS83" s="137"/>
      <c r="FT83" s="137"/>
      <c r="FU83" s="137"/>
      <c r="FV83" s="137"/>
      <c r="FW83" s="137"/>
      <c r="FX83" s="137"/>
      <c r="FY83" s="137"/>
      <c r="FZ83" s="137"/>
      <c r="GA83" s="137"/>
      <c r="GB83" s="137"/>
      <c r="GC83" s="137"/>
      <c r="GD83" s="137"/>
      <c r="GE83" s="137"/>
      <c r="GF83" s="137"/>
      <c r="GG83" s="137"/>
      <c r="GH83" s="137"/>
      <c r="GI83" s="137"/>
      <c r="GJ83" s="137"/>
      <c r="GK83" s="137"/>
      <c r="GL83" s="137"/>
      <c r="GM83" s="137"/>
      <c r="GN83" s="137"/>
      <c r="GO83" s="137"/>
      <c r="GP83" s="137"/>
      <c r="GQ83" s="137"/>
      <c r="GR83" s="137"/>
      <c r="GS83" s="137"/>
      <c r="GT83" s="137"/>
      <c r="GU83" s="137"/>
      <c r="GV83" s="137"/>
      <c r="GW83" s="137"/>
      <c r="GX83" s="137"/>
      <c r="GY83" s="137"/>
      <c r="GZ83" s="137"/>
      <c r="HA83" s="137"/>
      <c r="HB83" s="137"/>
      <c r="HC83" s="137"/>
      <c r="HD83" s="137"/>
      <c r="HE83" s="137"/>
      <c r="HF83" s="137"/>
      <c r="HG83" s="137"/>
      <c r="HH83" s="137"/>
      <c r="HI83" s="137"/>
      <c r="HJ83" s="137"/>
      <c r="HK83" s="137"/>
      <c r="HL83" s="137"/>
      <c r="HM83" s="137"/>
      <c r="HN83" s="137"/>
      <c r="HO83" s="137"/>
      <c r="HP83" s="137"/>
      <c r="HQ83" s="137"/>
      <c r="HR83" s="137"/>
      <c r="HS83" s="137"/>
      <c r="HT83" s="137"/>
      <c r="HU83" s="137"/>
      <c r="HV83" s="137"/>
      <c r="HW83" s="137"/>
      <c r="HX83" s="137"/>
      <c r="HY83" s="137"/>
      <c r="HZ83" s="137"/>
      <c r="IA83" s="137"/>
      <c r="IB83" s="137"/>
      <c r="IC83" s="137"/>
      <c r="ID83" s="137"/>
      <c r="IE83" s="137"/>
      <c r="IF83" s="137"/>
      <c r="IG83" s="137"/>
      <c r="IH83" s="137"/>
      <c r="II83" s="137"/>
      <c r="IJ83" s="137"/>
      <c r="IK83" s="137"/>
      <c r="IL83" s="137"/>
      <c r="IM83" s="137"/>
      <c r="IN83" s="137"/>
      <c r="IO83" s="137"/>
      <c r="IP83" s="137"/>
      <c r="IQ83" s="137"/>
      <c r="IR83" s="137"/>
      <c r="IS83" s="137"/>
      <c r="IT83" s="137"/>
      <c r="IU83" s="137"/>
      <c r="IV83" s="137"/>
    </row>
    <row r="84" spans="1:256" ht="12.75">
      <c r="A84" s="208" t="s">
        <v>100</v>
      </c>
      <c r="B84" s="132" t="s">
        <v>5</v>
      </c>
      <c r="C84" s="209" t="s">
        <v>168</v>
      </c>
      <c r="D84" s="132" t="s">
        <v>3</v>
      </c>
      <c r="E84" s="132" t="s">
        <v>3</v>
      </c>
      <c r="F84" s="107" t="s">
        <v>3</v>
      </c>
      <c r="G84" s="213" t="s">
        <v>169</v>
      </c>
      <c r="H84" s="210">
        <f>SUM(H85:H85)</f>
        <v>0</v>
      </c>
      <c r="I84" s="165">
        <f>SUM(I85:I85)</f>
        <v>8000</v>
      </c>
      <c r="J84" s="166">
        <f>SUM(J85:J85)</f>
        <v>0</v>
      </c>
      <c r="K84" s="210">
        <f>SUM(K85:K85)</f>
        <v>8000</v>
      </c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7"/>
      <c r="DE84" s="137"/>
      <c r="DF84" s="137"/>
      <c r="DG84" s="137"/>
      <c r="DH84" s="137"/>
      <c r="DI84" s="137"/>
      <c r="DJ84" s="137"/>
      <c r="DK84" s="137"/>
      <c r="DL84" s="137"/>
      <c r="DM84" s="137"/>
      <c r="DN84" s="137"/>
      <c r="DO84" s="137"/>
      <c r="DP84" s="137"/>
      <c r="DQ84" s="137"/>
      <c r="DR84" s="137"/>
      <c r="DS84" s="137"/>
      <c r="DT84" s="137"/>
      <c r="DU84" s="137"/>
      <c r="DV84" s="137"/>
      <c r="DW84" s="137"/>
      <c r="DX84" s="137"/>
      <c r="DY84" s="137"/>
      <c r="DZ84" s="137"/>
      <c r="EA84" s="137"/>
      <c r="EB84" s="137"/>
      <c r="EC84" s="137"/>
      <c r="ED84" s="137"/>
      <c r="EE84" s="137"/>
      <c r="EF84" s="137"/>
      <c r="EG84" s="137"/>
      <c r="EH84" s="137"/>
      <c r="EI84" s="137"/>
      <c r="EJ84" s="137"/>
      <c r="EK84" s="137"/>
      <c r="EL84" s="137"/>
      <c r="EM84" s="137"/>
      <c r="EN84" s="137"/>
      <c r="EO84" s="137"/>
      <c r="EP84" s="137"/>
      <c r="EQ84" s="137"/>
      <c r="ER84" s="137"/>
      <c r="ES84" s="137"/>
      <c r="ET84" s="137"/>
      <c r="EU84" s="137"/>
      <c r="EV84" s="137"/>
      <c r="EW84" s="137"/>
      <c r="EX84" s="137"/>
      <c r="EY84" s="137"/>
      <c r="EZ84" s="137"/>
      <c r="FA84" s="137"/>
      <c r="FB84" s="137"/>
      <c r="FC84" s="137"/>
      <c r="FD84" s="137"/>
      <c r="FE84" s="137"/>
      <c r="FF84" s="137"/>
      <c r="FG84" s="137"/>
      <c r="FH84" s="137"/>
      <c r="FI84" s="137"/>
      <c r="FJ84" s="137"/>
      <c r="FK84" s="137"/>
      <c r="FL84" s="137"/>
      <c r="FM84" s="137"/>
      <c r="FN84" s="137"/>
      <c r="FO84" s="137"/>
      <c r="FP84" s="137"/>
      <c r="FQ84" s="137"/>
      <c r="FR84" s="137"/>
      <c r="FS84" s="137"/>
      <c r="FT84" s="137"/>
      <c r="FU84" s="137"/>
      <c r="FV84" s="137"/>
      <c r="FW84" s="137"/>
      <c r="FX84" s="137"/>
      <c r="FY84" s="137"/>
      <c r="FZ84" s="137"/>
      <c r="GA84" s="137"/>
      <c r="GB84" s="137"/>
      <c r="GC84" s="137"/>
      <c r="GD84" s="137"/>
      <c r="GE84" s="137"/>
      <c r="GF84" s="137"/>
      <c r="GG84" s="137"/>
      <c r="GH84" s="137"/>
      <c r="GI84" s="137"/>
      <c r="GJ84" s="137"/>
      <c r="GK84" s="137"/>
      <c r="GL84" s="137"/>
      <c r="GM84" s="137"/>
      <c r="GN84" s="137"/>
      <c r="GO84" s="137"/>
      <c r="GP84" s="137"/>
      <c r="GQ84" s="137"/>
      <c r="GR84" s="137"/>
      <c r="GS84" s="137"/>
      <c r="GT84" s="137"/>
      <c r="GU84" s="137"/>
      <c r="GV84" s="137"/>
      <c r="GW84" s="137"/>
      <c r="GX84" s="137"/>
      <c r="GY84" s="137"/>
      <c r="GZ84" s="137"/>
      <c r="HA84" s="137"/>
      <c r="HB84" s="137"/>
      <c r="HC84" s="137"/>
      <c r="HD84" s="137"/>
      <c r="HE84" s="137"/>
      <c r="HF84" s="137"/>
      <c r="HG84" s="137"/>
      <c r="HH84" s="137"/>
      <c r="HI84" s="137"/>
      <c r="HJ84" s="137"/>
      <c r="HK84" s="137"/>
      <c r="HL84" s="137"/>
      <c r="HM84" s="137"/>
      <c r="HN84" s="137"/>
      <c r="HO84" s="137"/>
      <c r="HP84" s="137"/>
      <c r="HQ84" s="137"/>
      <c r="HR84" s="137"/>
      <c r="HS84" s="137"/>
      <c r="HT84" s="137"/>
      <c r="HU84" s="137"/>
      <c r="HV84" s="137"/>
      <c r="HW84" s="137"/>
      <c r="HX84" s="137"/>
      <c r="HY84" s="137"/>
      <c r="HZ84" s="137"/>
      <c r="IA84" s="137"/>
      <c r="IB84" s="137"/>
      <c r="IC84" s="137"/>
      <c r="ID84" s="137"/>
      <c r="IE84" s="137"/>
      <c r="IF84" s="137"/>
      <c r="IG84" s="137"/>
      <c r="IH84" s="137"/>
      <c r="II84" s="137"/>
      <c r="IJ84" s="137"/>
      <c r="IK84" s="137"/>
      <c r="IL84" s="137"/>
      <c r="IM84" s="137"/>
      <c r="IN84" s="137"/>
      <c r="IO84" s="137"/>
      <c r="IP84" s="137"/>
      <c r="IQ84" s="137"/>
      <c r="IR84" s="137"/>
      <c r="IS84" s="137"/>
      <c r="IT84" s="137"/>
      <c r="IU84" s="137"/>
      <c r="IV84" s="137"/>
    </row>
    <row r="85" spans="1:256" ht="13.5" thickBot="1">
      <c r="A85" s="211"/>
      <c r="B85" s="187"/>
      <c r="C85" s="188"/>
      <c r="D85" s="189"/>
      <c r="E85" s="189">
        <v>4223</v>
      </c>
      <c r="F85" s="183" t="s">
        <v>147</v>
      </c>
      <c r="G85" s="212" t="s">
        <v>148</v>
      </c>
      <c r="H85" s="119">
        <v>0</v>
      </c>
      <c r="I85" s="129">
        <v>8000</v>
      </c>
      <c r="J85" s="207"/>
      <c r="K85" s="43">
        <f>I85+J85</f>
        <v>8000</v>
      </c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  <c r="FB85" s="137"/>
      <c r="FC85" s="137"/>
      <c r="FD85" s="137"/>
      <c r="FE85" s="137"/>
      <c r="FF85" s="137"/>
      <c r="FG85" s="137"/>
      <c r="FH85" s="137"/>
      <c r="FI85" s="137"/>
      <c r="FJ85" s="137"/>
      <c r="FK85" s="137"/>
      <c r="FL85" s="137"/>
      <c r="FM85" s="137"/>
      <c r="FN85" s="137"/>
      <c r="FO85" s="137"/>
      <c r="FP85" s="137"/>
      <c r="FQ85" s="137"/>
      <c r="FR85" s="137"/>
      <c r="FS85" s="137"/>
      <c r="FT85" s="137"/>
      <c r="FU85" s="137"/>
      <c r="FV85" s="137"/>
      <c r="FW85" s="137"/>
      <c r="FX85" s="137"/>
      <c r="FY85" s="137"/>
      <c r="FZ85" s="137"/>
      <c r="GA85" s="137"/>
      <c r="GB85" s="137"/>
      <c r="GC85" s="137"/>
      <c r="GD85" s="137"/>
      <c r="GE85" s="137"/>
      <c r="GF85" s="137"/>
      <c r="GG85" s="137"/>
      <c r="GH85" s="137"/>
      <c r="GI85" s="137"/>
      <c r="GJ85" s="137"/>
      <c r="GK85" s="137"/>
      <c r="GL85" s="137"/>
      <c r="GM85" s="137"/>
      <c r="GN85" s="137"/>
      <c r="GO85" s="137"/>
      <c r="GP85" s="137"/>
      <c r="GQ85" s="137"/>
      <c r="GR85" s="137"/>
      <c r="GS85" s="137"/>
      <c r="GT85" s="137"/>
      <c r="GU85" s="137"/>
      <c r="GV85" s="137"/>
      <c r="GW85" s="137"/>
      <c r="GX85" s="137"/>
      <c r="GY85" s="137"/>
      <c r="GZ85" s="137"/>
      <c r="HA85" s="137"/>
      <c r="HB85" s="137"/>
      <c r="HC85" s="137"/>
      <c r="HD85" s="137"/>
      <c r="HE85" s="137"/>
      <c r="HF85" s="137"/>
      <c r="HG85" s="137"/>
      <c r="HH85" s="137"/>
      <c r="HI85" s="137"/>
      <c r="HJ85" s="137"/>
      <c r="HK85" s="137"/>
      <c r="HL85" s="137"/>
      <c r="HM85" s="137"/>
      <c r="HN85" s="137"/>
      <c r="HO85" s="137"/>
      <c r="HP85" s="137"/>
      <c r="HQ85" s="137"/>
      <c r="HR85" s="137"/>
      <c r="HS85" s="137"/>
      <c r="HT85" s="137"/>
      <c r="HU85" s="137"/>
      <c r="HV85" s="137"/>
      <c r="HW85" s="137"/>
      <c r="HX85" s="137"/>
      <c r="HY85" s="137"/>
      <c r="HZ85" s="137"/>
      <c r="IA85" s="137"/>
      <c r="IB85" s="137"/>
      <c r="IC85" s="137"/>
      <c r="ID85" s="137"/>
      <c r="IE85" s="137"/>
      <c r="IF85" s="137"/>
      <c r="IG85" s="137"/>
      <c r="IH85" s="137"/>
      <c r="II85" s="137"/>
      <c r="IJ85" s="137"/>
      <c r="IK85" s="137"/>
      <c r="IL85" s="137"/>
      <c r="IM85" s="137"/>
      <c r="IN85" s="137"/>
      <c r="IO85" s="137"/>
      <c r="IP85" s="137"/>
      <c r="IQ85" s="137"/>
      <c r="IR85" s="137"/>
      <c r="IS85" s="137"/>
      <c r="IT85" s="137"/>
      <c r="IU85" s="137"/>
      <c r="IV85" s="137"/>
    </row>
    <row r="86" spans="1:256" ht="12.75">
      <c r="A86" s="208" t="s">
        <v>100</v>
      </c>
      <c r="B86" s="132" t="s">
        <v>5</v>
      </c>
      <c r="C86" s="209" t="s">
        <v>170</v>
      </c>
      <c r="D86" s="132" t="s">
        <v>3</v>
      </c>
      <c r="E86" s="132" t="s">
        <v>3</v>
      </c>
      <c r="F86" s="107" t="s">
        <v>3</v>
      </c>
      <c r="G86" s="213" t="s">
        <v>171</v>
      </c>
      <c r="H86" s="210">
        <f>SUM(H87:H87)</f>
        <v>0</v>
      </c>
      <c r="I86" s="165">
        <f>SUM(I87:I87)</f>
        <v>13000</v>
      </c>
      <c r="J86" s="166">
        <f>SUM(J87:J87)</f>
        <v>0</v>
      </c>
      <c r="K86" s="210">
        <f>SUM(K87:K87)</f>
        <v>13000</v>
      </c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37"/>
      <c r="ED86" s="137"/>
      <c r="EE86" s="137"/>
      <c r="EF86" s="137"/>
      <c r="EG86" s="137"/>
      <c r="EH86" s="137"/>
      <c r="EI86" s="137"/>
      <c r="EJ86" s="137"/>
      <c r="EK86" s="137"/>
      <c r="EL86" s="137"/>
      <c r="EM86" s="137"/>
      <c r="EN86" s="137"/>
      <c r="EO86" s="137"/>
      <c r="EP86" s="137"/>
      <c r="EQ86" s="137"/>
      <c r="ER86" s="137"/>
      <c r="ES86" s="137"/>
      <c r="ET86" s="137"/>
      <c r="EU86" s="137"/>
      <c r="EV86" s="137"/>
      <c r="EW86" s="137"/>
      <c r="EX86" s="137"/>
      <c r="EY86" s="137"/>
      <c r="EZ86" s="137"/>
      <c r="FA86" s="137"/>
      <c r="FB86" s="137"/>
      <c r="FC86" s="137"/>
      <c r="FD86" s="137"/>
      <c r="FE86" s="137"/>
      <c r="FF86" s="137"/>
      <c r="FG86" s="137"/>
      <c r="FH86" s="137"/>
      <c r="FI86" s="137"/>
      <c r="FJ86" s="137"/>
      <c r="FK86" s="137"/>
      <c r="FL86" s="137"/>
      <c r="FM86" s="137"/>
      <c r="FN86" s="137"/>
      <c r="FO86" s="137"/>
      <c r="FP86" s="137"/>
      <c r="FQ86" s="137"/>
      <c r="FR86" s="137"/>
      <c r="FS86" s="137"/>
      <c r="FT86" s="137"/>
      <c r="FU86" s="137"/>
      <c r="FV86" s="137"/>
      <c r="FW86" s="137"/>
      <c r="FX86" s="137"/>
      <c r="FY86" s="137"/>
      <c r="FZ86" s="137"/>
      <c r="GA86" s="137"/>
      <c r="GB86" s="137"/>
      <c r="GC86" s="137"/>
      <c r="GD86" s="137"/>
      <c r="GE86" s="137"/>
      <c r="GF86" s="137"/>
      <c r="GG86" s="137"/>
      <c r="GH86" s="137"/>
      <c r="GI86" s="137"/>
      <c r="GJ86" s="137"/>
      <c r="GK86" s="137"/>
      <c r="GL86" s="137"/>
      <c r="GM86" s="137"/>
      <c r="GN86" s="137"/>
      <c r="GO86" s="137"/>
      <c r="GP86" s="137"/>
      <c r="GQ86" s="137"/>
      <c r="GR86" s="137"/>
      <c r="GS86" s="137"/>
      <c r="GT86" s="137"/>
      <c r="GU86" s="137"/>
      <c r="GV86" s="137"/>
      <c r="GW86" s="137"/>
      <c r="GX86" s="137"/>
      <c r="GY86" s="137"/>
      <c r="GZ86" s="137"/>
      <c r="HA86" s="137"/>
      <c r="HB86" s="137"/>
      <c r="HC86" s="137"/>
      <c r="HD86" s="137"/>
      <c r="HE86" s="137"/>
      <c r="HF86" s="137"/>
      <c r="HG86" s="137"/>
      <c r="HH86" s="137"/>
      <c r="HI86" s="137"/>
      <c r="HJ86" s="137"/>
      <c r="HK86" s="137"/>
      <c r="HL86" s="137"/>
      <c r="HM86" s="137"/>
      <c r="HN86" s="137"/>
      <c r="HO86" s="137"/>
      <c r="HP86" s="137"/>
      <c r="HQ86" s="137"/>
      <c r="HR86" s="137"/>
      <c r="HS86" s="137"/>
      <c r="HT86" s="137"/>
      <c r="HU86" s="137"/>
      <c r="HV86" s="137"/>
      <c r="HW86" s="137"/>
      <c r="HX86" s="137"/>
      <c r="HY86" s="137"/>
      <c r="HZ86" s="137"/>
      <c r="IA86" s="137"/>
      <c r="IB86" s="137"/>
      <c r="IC86" s="137"/>
      <c r="ID86" s="137"/>
      <c r="IE86" s="137"/>
      <c r="IF86" s="137"/>
      <c r="IG86" s="137"/>
      <c r="IH86" s="137"/>
      <c r="II86" s="137"/>
      <c r="IJ86" s="137"/>
      <c r="IK86" s="137"/>
      <c r="IL86" s="137"/>
      <c r="IM86" s="137"/>
      <c r="IN86" s="137"/>
      <c r="IO86" s="137"/>
      <c r="IP86" s="137"/>
      <c r="IQ86" s="137"/>
      <c r="IR86" s="137"/>
      <c r="IS86" s="137"/>
      <c r="IT86" s="137"/>
      <c r="IU86" s="137"/>
      <c r="IV86" s="137"/>
    </row>
    <row r="87" spans="1:256" ht="13.5" thickBot="1">
      <c r="A87" s="211"/>
      <c r="B87" s="187"/>
      <c r="C87" s="188"/>
      <c r="D87" s="189"/>
      <c r="E87" s="189">
        <v>4223</v>
      </c>
      <c r="F87" s="183" t="s">
        <v>147</v>
      </c>
      <c r="G87" s="212" t="s">
        <v>148</v>
      </c>
      <c r="H87" s="119">
        <v>0</v>
      </c>
      <c r="I87" s="129">
        <v>13000</v>
      </c>
      <c r="J87" s="207"/>
      <c r="K87" s="43">
        <f>I87+J87</f>
        <v>13000</v>
      </c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37"/>
      <c r="DH87" s="137"/>
      <c r="DI87" s="137"/>
      <c r="DJ87" s="137"/>
      <c r="DK87" s="137"/>
      <c r="DL87" s="137"/>
      <c r="DM87" s="137"/>
      <c r="DN87" s="137"/>
      <c r="DO87" s="137"/>
      <c r="DP87" s="137"/>
      <c r="DQ87" s="137"/>
      <c r="DR87" s="137"/>
      <c r="DS87" s="137"/>
      <c r="DT87" s="137"/>
      <c r="DU87" s="137"/>
      <c r="DV87" s="137"/>
      <c r="DW87" s="137"/>
      <c r="DX87" s="137"/>
      <c r="DY87" s="137"/>
      <c r="DZ87" s="137"/>
      <c r="EA87" s="137"/>
      <c r="EB87" s="137"/>
      <c r="EC87" s="137"/>
      <c r="ED87" s="137"/>
      <c r="EE87" s="137"/>
      <c r="EF87" s="137"/>
      <c r="EG87" s="137"/>
      <c r="EH87" s="137"/>
      <c r="EI87" s="137"/>
      <c r="EJ87" s="137"/>
      <c r="EK87" s="137"/>
      <c r="EL87" s="137"/>
      <c r="EM87" s="137"/>
      <c r="EN87" s="137"/>
      <c r="EO87" s="137"/>
      <c r="EP87" s="137"/>
      <c r="EQ87" s="137"/>
      <c r="ER87" s="137"/>
      <c r="ES87" s="137"/>
      <c r="ET87" s="137"/>
      <c r="EU87" s="137"/>
      <c r="EV87" s="137"/>
      <c r="EW87" s="137"/>
      <c r="EX87" s="137"/>
      <c r="EY87" s="137"/>
      <c r="EZ87" s="137"/>
      <c r="FA87" s="137"/>
      <c r="FB87" s="137"/>
      <c r="FC87" s="137"/>
      <c r="FD87" s="137"/>
      <c r="FE87" s="137"/>
      <c r="FF87" s="137"/>
      <c r="FG87" s="137"/>
      <c r="FH87" s="137"/>
      <c r="FI87" s="137"/>
      <c r="FJ87" s="137"/>
      <c r="FK87" s="137"/>
      <c r="FL87" s="137"/>
      <c r="FM87" s="137"/>
      <c r="FN87" s="137"/>
      <c r="FO87" s="137"/>
      <c r="FP87" s="137"/>
      <c r="FQ87" s="137"/>
      <c r="FR87" s="137"/>
      <c r="FS87" s="137"/>
      <c r="FT87" s="137"/>
      <c r="FU87" s="137"/>
      <c r="FV87" s="137"/>
      <c r="FW87" s="137"/>
      <c r="FX87" s="137"/>
      <c r="FY87" s="137"/>
      <c r="FZ87" s="137"/>
      <c r="GA87" s="137"/>
      <c r="GB87" s="137"/>
      <c r="GC87" s="137"/>
      <c r="GD87" s="137"/>
      <c r="GE87" s="137"/>
      <c r="GF87" s="137"/>
      <c r="GG87" s="137"/>
      <c r="GH87" s="137"/>
      <c r="GI87" s="137"/>
      <c r="GJ87" s="137"/>
      <c r="GK87" s="137"/>
      <c r="GL87" s="137"/>
      <c r="GM87" s="137"/>
      <c r="GN87" s="137"/>
      <c r="GO87" s="137"/>
      <c r="GP87" s="137"/>
      <c r="GQ87" s="137"/>
      <c r="GR87" s="137"/>
      <c r="GS87" s="137"/>
      <c r="GT87" s="137"/>
      <c r="GU87" s="137"/>
      <c r="GV87" s="137"/>
      <c r="GW87" s="137"/>
      <c r="GX87" s="137"/>
      <c r="GY87" s="137"/>
      <c r="GZ87" s="137"/>
      <c r="HA87" s="137"/>
      <c r="HB87" s="137"/>
      <c r="HC87" s="137"/>
      <c r="HD87" s="137"/>
      <c r="HE87" s="137"/>
      <c r="HF87" s="137"/>
      <c r="HG87" s="137"/>
      <c r="HH87" s="137"/>
      <c r="HI87" s="137"/>
      <c r="HJ87" s="137"/>
      <c r="HK87" s="137"/>
      <c r="HL87" s="137"/>
      <c r="HM87" s="137"/>
      <c r="HN87" s="137"/>
      <c r="HO87" s="137"/>
      <c r="HP87" s="137"/>
      <c r="HQ87" s="137"/>
      <c r="HR87" s="137"/>
      <c r="HS87" s="137"/>
      <c r="HT87" s="137"/>
      <c r="HU87" s="137"/>
      <c r="HV87" s="137"/>
      <c r="HW87" s="137"/>
      <c r="HX87" s="137"/>
      <c r="HY87" s="137"/>
      <c r="HZ87" s="137"/>
      <c r="IA87" s="137"/>
      <c r="IB87" s="137"/>
      <c r="IC87" s="137"/>
      <c r="ID87" s="137"/>
      <c r="IE87" s="137"/>
      <c r="IF87" s="137"/>
      <c r="IG87" s="137"/>
      <c r="IH87" s="137"/>
      <c r="II87" s="137"/>
      <c r="IJ87" s="137"/>
      <c r="IK87" s="137"/>
      <c r="IL87" s="137"/>
      <c r="IM87" s="137"/>
      <c r="IN87" s="137"/>
      <c r="IO87" s="137"/>
      <c r="IP87" s="137"/>
      <c r="IQ87" s="137"/>
      <c r="IR87" s="137"/>
      <c r="IS87" s="137"/>
      <c r="IT87" s="137"/>
      <c r="IU87" s="137"/>
      <c r="IV87" s="137"/>
    </row>
    <row r="88" spans="1:256" ht="12.75">
      <c r="A88" s="208" t="s">
        <v>100</v>
      </c>
      <c r="B88" s="132" t="s">
        <v>5</v>
      </c>
      <c r="C88" s="209" t="s">
        <v>172</v>
      </c>
      <c r="D88" s="132" t="s">
        <v>3</v>
      </c>
      <c r="E88" s="132" t="s">
        <v>3</v>
      </c>
      <c r="F88" s="107" t="s">
        <v>3</v>
      </c>
      <c r="G88" s="213" t="s">
        <v>173</v>
      </c>
      <c r="H88" s="210">
        <f>SUM(H89:H89)</f>
        <v>0</v>
      </c>
      <c r="I88" s="165">
        <f>SUM(I89:I89)</f>
        <v>13000</v>
      </c>
      <c r="J88" s="166">
        <f>SUM(J89:J89)</f>
        <v>0</v>
      </c>
      <c r="K88" s="210">
        <f>SUM(K89:K89)</f>
        <v>13000</v>
      </c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37"/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  <c r="DV88" s="137"/>
      <c r="DW88" s="137"/>
      <c r="DX88" s="137"/>
      <c r="DY88" s="137"/>
      <c r="DZ88" s="137"/>
      <c r="EA88" s="137"/>
      <c r="EB88" s="137"/>
      <c r="EC88" s="137"/>
      <c r="ED88" s="137"/>
      <c r="EE88" s="137"/>
      <c r="EF88" s="137"/>
      <c r="EG88" s="137"/>
      <c r="EH88" s="137"/>
      <c r="EI88" s="137"/>
      <c r="EJ88" s="137"/>
      <c r="EK88" s="137"/>
      <c r="EL88" s="137"/>
      <c r="EM88" s="137"/>
      <c r="EN88" s="137"/>
      <c r="EO88" s="137"/>
      <c r="EP88" s="137"/>
      <c r="EQ88" s="137"/>
      <c r="ER88" s="137"/>
      <c r="ES88" s="137"/>
      <c r="ET88" s="137"/>
      <c r="EU88" s="137"/>
      <c r="EV88" s="137"/>
      <c r="EW88" s="137"/>
      <c r="EX88" s="137"/>
      <c r="EY88" s="137"/>
      <c r="EZ88" s="137"/>
      <c r="FA88" s="137"/>
      <c r="FB88" s="137"/>
      <c r="FC88" s="137"/>
      <c r="FD88" s="137"/>
      <c r="FE88" s="137"/>
      <c r="FF88" s="137"/>
      <c r="FG88" s="137"/>
      <c r="FH88" s="137"/>
      <c r="FI88" s="137"/>
      <c r="FJ88" s="137"/>
      <c r="FK88" s="137"/>
      <c r="FL88" s="137"/>
      <c r="FM88" s="137"/>
      <c r="FN88" s="137"/>
      <c r="FO88" s="137"/>
      <c r="FP88" s="137"/>
      <c r="FQ88" s="137"/>
      <c r="FR88" s="137"/>
      <c r="FS88" s="137"/>
      <c r="FT88" s="137"/>
      <c r="FU88" s="137"/>
      <c r="FV88" s="137"/>
      <c r="FW88" s="137"/>
      <c r="FX88" s="137"/>
      <c r="FY88" s="137"/>
      <c r="FZ88" s="137"/>
      <c r="GA88" s="137"/>
      <c r="GB88" s="137"/>
      <c r="GC88" s="137"/>
      <c r="GD88" s="137"/>
      <c r="GE88" s="137"/>
      <c r="GF88" s="137"/>
      <c r="GG88" s="137"/>
      <c r="GH88" s="137"/>
      <c r="GI88" s="137"/>
      <c r="GJ88" s="137"/>
      <c r="GK88" s="137"/>
      <c r="GL88" s="137"/>
      <c r="GM88" s="137"/>
      <c r="GN88" s="137"/>
      <c r="GO88" s="137"/>
      <c r="GP88" s="137"/>
      <c r="GQ88" s="137"/>
      <c r="GR88" s="137"/>
      <c r="GS88" s="137"/>
      <c r="GT88" s="137"/>
      <c r="GU88" s="137"/>
      <c r="GV88" s="137"/>
      <c r="GW88" s="137"/>
      <c r="GX88" s="137"/>
      <c r="GY88" s="137"/>
      <c r="GZ88" s="137"/>
      <c r="HA88" s="137"/>
      <c r="HB88" s="137"/>
      <c r="HC88" s="137"/>
      <c r="HD88" s="137"/>
      <c r="HE88" s="137"/>
      <c r="HF88" s="137"/>
      <c r="HG88" s="137"/>
      <c r="HH88" s="137"/>
      <c r="HI88" s="137"/>
      <c r="HJ88" s="137"/>
      <c r="HK88" s="137"/>
      <c r="HL88" s="137"/>
      <c r="HM88" s="137"/>
      <c r="HN88" s="137"/>
      <c r="HO88" s="137"/>
      <c r="HP88" s="137"/>
      <c r="HQ88" s="137"/>
      <c r="HR88" s="137"/>
      <c r="HS88" s="137"/>
      <c r="HT88" s="137"/>
      <c r="HU88" s="137"/>
      <c r="HV88" s="137"/>
      <c r="HW88" s="137"/>
      <c r="HX88" s="137"/>
      <c r="HY88" s="137"/>
      <c r="HZ88" s="137"/>
      <c r="IA88" s="137"/>
      <c r="IB88" s="137"/>
      <c r="IC88" s="137"/>
      <c r="ID88" s="137"/>
      <c r="IE88" s="137"/>
      <c r="IF88" s="137"/>
      <c r="IG88" s="137"/>
      <c r="IH88" s="137"/>
      <c r="II88" s="137"/>
      <c r="IJ88" s="137"/>
      <c r="IK88" s="137"/>
      <c r="IL88" s="137"/>
      <c r="IM88" s="137"/>
      <c r="IN88" s="137"/>
      <c r="IO88" s="137"/>
      <c r="IP88" s="137"/>
      <c r="IQ88" s="137"/>
      <c r="IR88" s="137"/>
      <c r="IS88" s="137"/>
      <c r="IT88" s="137"/>
      <c r="IU88" s="137"/>
      <c r="IV88" s="137"/>
    </row>
    <row r="89" spans="1:256" ht="13.5" thickBot="1">
      <c r="A89" s="211"/>
      <c r="B89" s="187"/>
      <c r="C89" s="188"/>
      <c r="D89" s="189"/>
      <c r="E89" s="189">
        <v>4223</v>
      </c>
      <c r="F89" s="183" t="s">
        <v>147</v>
      </c>
      <c r="G89" s="212" t="s">
        <v>148</v>
      </c>
      <c r="H89" s="119">
        <v>0</v>
      </c>
      <c r="I89" s="129">
        <v>13000</v>
      </c>
      <c r="J89" s="207"/>
      <c r="K89" s="43">
        <f>I89+J89</f>
        <v>13000</v>
      </c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7"/>
      <c r="DF89" s="137"/>
      <c r="DG89" s="137"/>
      <c r="DH89" s="137"/>
      <c r="DI89" s="137"/>
      <c r="DJ89" s="137"/>
      <c r="DK89" s="137"/>
      <c r="DL89" s="137"/>
      <c r="DM89" s="137"/>
      <c r="DN89" s="137"/>
      <c r="DO89" s="137"/>
      <c r="DP89" s="137"/>
      <c r="DQ89" s="137"/>
      <c r="DR89" s="137"/>
      <c r="DS89" s="137"/>
      <c r="DT89" s="137"/>
      <c r="DU89" s="137"/>
      <c r="DV89" s="137"/>
      <c r="DW89" s="137"/>
      <c r="DX89" s="137"/>
      <c r="DY89" s="137"/>
      <c r="DZ89" s="137"/>
      <c r="EA89" s="137"/>
      <c r="EB89" s="137"/>
      <c r="EC89" s="137"/>
      <c r="ED89" s="137"/>
      <c r="EE89" s="137"/>
      <c r="EF89" s="137"/>
      <c r="EG89" s="137"/>
      <c r="EH89" s="137"/>
      <c r="EI89" s="137"/>
      <c r="EJ89" s="137"/>
      <c r="EK89" s="137"/>
      <c r="EL89" s="137"/>
      <c r="EM89" s="137"/>
      <c r="EN89" s="137"/>
      <c r="EO89" s="137"/>
      <c r="EP89" s="137"/>
      <c r="EQ89" s="137"/>
      <c r="ER89" s="137"/>
      <c r="ES89" s="137"/>
      <c r="ET89" s="137"/>
      <c r="EU89" s="137"/>
      <c r="EV89" s="137"/>
      <c r="EW89" s="137"/>
      <c r="EX89" s="137"/>
      <c r="EY89" s="137"/>
      <c r="EZ89" s="137"/>
      <c r="FA89" s="137"/>
      <c r="FB89" s="137"/>
      <c r="FC89" s="137"/>
      <c r="FD89" s="137"/>
      <c r="FE89" s="137"/>
      <c r="FF89" s="137"/>
      <c r="FG89" s="137"/>
      <c r="FH89" s="137"/>
      <c r="FI89" s="137"/>
      <c r="FJ89" s="137"/>
      <c r="FK89" s="137"/>
      <c r="FL89" s="137"/>
      <c r="FM89" s="137"/>
      <c r="FN89" s="137"/>
      <c r="FO89" s="137"/>
      <c r="FP89" s="137"/>
      <c r="FQ89" s="137"/>
      <c r="FR89" s="137"/>
      <c r="FS89" s="137"/>
      <c r="FT89" s="137"/>
      <c r="FU89" s="137"/>
      <c r="FV89" s="137"/>
      <c r="FW89" s="137"/>
      <c r="FX89" s="137"/>
      <c r="FY89" s="137"/>
      <c r="FZ89" s="137"/>
      <c r="GA89" s="137"/>
      <c r="GB89" s="137"/>
      <c r="GC89" s="137"/>
      <c r="GD89" s="137"/>
      <c r="GE89" s="137"/>
      <c r="GF89" s="137"/>
      <c r="GG89" s="137"/>
      <c r="GH89" s="137"/>
      <c r="GI89" s="137"/>
      <c r="GJ89" s="137"/>
      <c r="GK89" s="137"/>
      <c r="GL89" s="137"/>
      <c r="GM89" s="137"/>
      <c r="GN89" s="137"/>
      <c r="GO89" s="137"/>
      <c r="GP89" s="137"/>
      <c r="GQ89" s="137"/>
      <c r="GR89" s="137"/>
      <c r="GS89" s="137"/>
      <c r="GT89" s="137"/>
      <c r="GU89" s="137"/>
      <c r="GV89" s="137"/>
      <c r="GW89" s="137"/>
      <c r="GX89" s="137"/>
      <c r="GY89" s="137"/>
      <c r="GZ89" s="137"/>
      <c r="HA89" s="137"/>
      <c r="HB89" s="137"/>
      <c r="HC89" s="137"/>
      <c r="HD89" s="137"/>
      <c r="HE89" s="137"/>
      <c r="HF89" s="137"/>
      <c r="HG89" s="137"/>
      <c r="HH89" s="137"/>
      <c r="HI89" s="137"/>
      <c r="HJ89" s="137"/>
      <c r="HK89" s="137"/>
      <c r="HL89" s="137"/>
      <c r="HM89" s="137"/>
      <c r="HN89" s="137"/>
      <c r="HO89" s="137"/>
      <c r="HP89" s="137"/>
      <c r="HQ89" s="137"/>
      <c r="HR89" s="137"/>
      <c r="HS89" s="137"/>
      <c r="HT89" s="137"/>
      <c r="HU89" s="137"/>
      <c r="HV89" s="137"/>
      <c r="HW89" s="137"/>
      <c r="HX89" s="137"/>
      <c r="HY89" s="137"/>
      <c r="HZ89" s="137"/>
      <c r="IA89" s="137"/>
      <c r="IB89" s="137"/>
      <c r="IC89" s="137"/>
      <c r="ID89" s="137"/>
      <c r="IE89" s="137"/>
      <c r="IF89" s="137"/>
      <c r="IG89" s="137"/>
      <c r="IH89" s="137"/>
      <c r="II89" s="137"/>
      <c r="IJ89" s="137"/>
      <c r="IK89" s="137"/>
      <c r="IL89" s="137"/>
      <c r="IM89" s="137"/>
      <c r="IN89" s="137"/>
      <c r="IO89" s="137"/>
      <c r="IP89" s="137"/>
      <c r="IQ89" s="137"/>
      <c r="IR89" s="137"/>
      <c r="IS89" s="137"/>
      <c r="IT89" s="137"/>
      <c r="IU89" s="137"/>
      <c r="IV89" s="137"/>
    </row>
  </sheetData>
  <sheetProtection/>
  <mergeCells count="12">
    <mergeCell ref="E5:E6"/>
    <mergeCell ref="F5:F6"/>
    <mergeCell ref="G5:G6"/>
    <mergeCell ref="H5:H6"/>
    <mergeCell ref="I5:I6"/>
    <mergeCell ref="J5:K5"/>
    <mergeCell ref="A1:K1"/>
    <mergeCell ref="A3:K3"/>
    <mergeCell ref="A5:A6"/>
    <mergeCell ref="B5:B6"/>
    <mergeCell ref="C5:C6"/>
    <mergeCell ref="D5:D6"/>
  </mergeCells>
  <printOptions horizontalCentered="1"/>
  <pageMargins left="0.1968503937007874" right="0.1968503937007874" top="0.7874015748031497" bottom="0.7874015748031497" header="0.31496062992125984" footer="0.31496062992125984"/>
  <pageSetup fitToHeight="2" horizontalDpi="600" verticalDpi="600" orientation="portrait" paperSize="9" scale="89" r:id="rId1"/>
  <headerFooter>
    <oddHeader>&amp;R&amp;F</oddHeader>
    <oddFooter>&amp;C&amp;A</oddFooter>
  </headerFooter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75"/>
  <sheetViews>
    <sheetView zoomScalePageLayoutView="0" workbookViewId="0" topLeftCell="A1">
      <pane xSplit="1" ySplit="9" topLeftCell="B12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129" sqref="F129"/>
    </sheetView>
  </sheetViews>
  <sheetFormatPr defaultColWidth="9.140625" defaultRowHeight="12.75"/>
  <cols>
    <col min="1" max="1" width="3.8515625" style="3" customWidth="1"/>
    <col min="2" max="2" width="3.421875" style="3" bestFit="1" customWidth="1"/>
    <col min="3" max="3" width="10.00390625" style="3" bestFit="1" customWidth="1"/>
    <col min="4" max="4" width="5.57421875" style="3" customWidth="1"/>
    <col min="5" max="5" width="5.7109375" style="3" customWidth="1"/>
    <col min="6" max="6" width="40.8515625" style="3" customWidth="1"/>
    <col min="7" max="7" width="8.421875" style="3" customWidth="1"/>
    <col min="8" max="8" width="8.140625" style="3" customWidth="1"/>
    <col min="9" max="9" width="9.7109375" style="3" customWidth="1"/>
    <col min="10" max="16384" width="9.140625" style="3" customWidth="1"/>
  </cols>
  <sheetData>
    <row r="1" spans="1:10" ht="17.25">
      <c r="A1" s="542" t="s">
        <v>431</v>
      </c>
      <c r="B1" s="542"/>
      <c r="C1" s="542"/>
      <c r="D1" s="542"/>
      <c r="E1" s="542"/>
      <c r="F1" s="542"/>
      <c r="G1" s="542"/>
      <c r="H1" s="542"/>
      <c r="I1" s="542"/>
      <c r="J1" s="542"/>
    </row>
    <row r="3" spans="1:10" ht="15">
      <c r="A3" s="543" t="s">
        <v>220</v>
      </c>
      <c r="B3" s="543"/>
      <c r="C3" s="543"/>
      <c r="D3" s="543"/>
      <c r="E3" s="543"/>
      <c r="F3" s="543"/>
      <c r="G3" s="543"/>
      <c r="H3" s="543"/>
      <c r="I3" s="543"/>
      <c r="J3" s="543"/>
    </row>
    <row r="4" spans="1:10" ht="12.75">
      <c r="A4" s="367"/>
      <c r="B4" s="367"/>
      <c r="C4" s="367"/>
      <c r="D4" s="367"/>
      <c r="E4" s="367"/>
      <c r="F4" s="367"/>
      <c r="G4" s="367"/>
      <c r="H4" s="367"/>
      <c r="I4" s="367"/>
      <c r="J4" s="368"/>
    </row>
    <row r="5" spans="1:10" ht="15">
      <c r="A5" s="544" t="s">
        <v>177</v>
      </c>
      <c r="B5" s="544"/>
      <c r="C5" s="544"/>
      <c r="D5" s="544"/>
      <c r="E5" s="544"/>
      <c r="F5" s="544"/>
      <c r="G5" s="544"/>
      <c r="H5" s="544"/>
      <c r="I5" s="544"/>
      <c r="J5" s="544"/>
    </row>
    <row r="6" spans="1:10" ht="13.5" thickBot="1">
      <c r="A6" s="369"/>
      <c r="B6" s="369"/>
      <c r="C6" s="369"/>
      <c r="D6" s="369"/>
      <c r="E6" s="369"/>
      <c r="F6" s="369"/>
      <c r="G6" s="369"/>
      <c r="H6" s="369"/>
      <c r="I6" s="369"/>
      <c r="J6" s="370" t="s">
        <v>221</v>
      </c>
    </row>
    <row r="7" spans="1:10" ht="12.75" customHeight="1" thickBot="1">
      <c r="A7" s="545" t="s">
        <v>222</v>
      </c>
      <c r="B7" s="545" t="s">
        <v>4</v>
      </c>
      <c r="C7" s="548" t="s">
        <v>6</v>
      </c>
      <c r="D7" s="548" t="s">
        <v>7</v>
      </c>
      <c r="E7" s="548" t="s">
        <v>8</v>
      </c>
      <c r="F7" s="550" t="s">
        <v>223</v>
      </c>
      <c r="G7" s="552" t="s">
        <v>70</v>
      </c>
      <c r="H7" s="535" t="s">
        <v>71</v>
      </c>
      <c r="I7" s="537" t="s">
        <v>430</v>
      </c>
      <c r="J7" s="538"/>
    </row>
    <row r="8" spans="1:10" ht="12.75" customHeight="1" thickBot="1">
      <c r="A8" s="546"/>
      <c r="B8" s="547"/>
      <c r="C8" s="549"/>
      <c r="D8" s="549"/>
      <c r="E8" s="549"/>
      <c r="F8" s="551"/>
      <c r="G8" s="553"/>
      <c r="H8" s="536"/>
      <c r="I8" s="227" t="s">
        <v>26</v>
      </c>
      <c r="J8" s="228" t="s">
        <v>72</v>
      </c>
    </row>
    <row r="9" spans="1:10" ht="12.75" customHeight="1" thickBot="1">
      <c r="A9" s="371">
        <v>920</v>
      </c>
      <c r="B9" s="372" t="s">
        <v>5</v>
      </c>
      <c r="C9" s="373" t="s">
        <v>6</v>
      </c>
      <c r="D9" s="374" t="s">
        <v>7</v>
      </c>
      <c r="E9" s="374" t="s">
        <v>8</v>
      </c>
      <c r="F9" s="375" t="s">
        <v>224</v>
      </c>
      <c r="G9" s="376">
        <f>G10+G12+G14+G16+G18+G20+G22+G24+G26+G29+G32+G35+G38+G40+G42+G44+G46+G124</f>
        <v>69902</v>
      </c>
      <c r="H9" s="376">
        <f>H10+H12+H14+H16+H18+H20+H22+H24+H26+H29+H32+H35+H38+H40+H42+H44+H46+H124</f>
        <v>784928.8200000001</v>
      </c>
      <c r="I9" s="377">
        <f>I10+I12+I14+I16+I18+I20+I22+I24+I26+I29+I32+I35+I38+I40+I42+I44+I46+I124</f>
        <v>-951.9040000000001</v>
      </c>
      <c r="J9" s="57">
        <f>J10+J12+J14+J16+J18+J20+J22+J24+J26+J29+J32+J35+J38+J40+J42+J44+J46+J124</f>
        <v>783976.9160000001</v>
      </c>
    </row>
    <row r="10" spans="1:10" ht="12.75" customHeight="1">
      <c r="A10" s="539" t="s">
        <v>58</v>
      </c>
      <c r="B10" s="378" t="s">
        <v>5</v>
      </c>
      <c r="C10" s="379" t="s">
        <v>225</v>
      </c>
      <c r="D10" s="380" t="s">
        <v>3</v>
      </c>
      <c r="E10" s="380" t="s">
        <v>3</v>
      </c>
      <c r="F10" s="381" t="s">
        <v>226</v>
      </c>
      <c r="G10" s="382">
        <f>SUM(G11:G11)</f>
        <v>200</v>
      </c>
      <c r="H10" s="383">
        <f>SUM(H11:H11)</f>
        <v>3200</v>
      </c>
      <c r="I10" s="383">
        <f>SUM(I11:I11)</f>
        <v>0</v>
      </c>
      <c r="J10" s="382">
        <f>SUM(J11:J11)</f>
        <v>3200</v>
      </c>
    </row>
    <row r="11" spans="1:10" ht="12.75" customHeight="1" thickBot="1">
      <c r="A11" s="540"/>
      <c r="B11" s="384"/>
      <c r="C11" s="385"/>
      <c r="D11" s="386">
        <v>2212</v>
      </c>
      <c r="E11" s="386">
        <v>6130</v>
      </c>
      <c r="F11" s="387" t="s">
        <v>227</v>
      </c>
      <c r="G11" s="1">
        <v>200</v>
      </c>
      <c r="H11" s="388">
        <f>200+3000</f>
        <v>3200</v>
      </c>
      <c r="I11" s="389"/>
      <c r="J11" s="1">
        <f>H11+I11</f>
        <v>3200</v>
      </c>
    </row>
    <row r="12" spans="1:10" ht="12.75">
      <c r="A12" s="540"/>
      <c r="B12" s="390" t="s">
        <v>5</v>
      </c>
      <c r="C12" s="391" t="s">
        <v>228</v>
      </c>
      <c r="D12" s="392" t="s">
        <v>3</v>
      </c>
      <c r="E12" s="392" t="s">
        <v>3</v>
      </c>
      <c r="F12" s="393" t="s">
        <v>229</v>
      </c>
      <c r="G12" s="383">
        <f>G13</f>
        <v>0</v>
      </c>
      <c r="H12" s="383">
        <f>H13</f>
        <v>2350</v>
      </c>
      <c r="I12" s="383">
        <f>SUM(I13:I13)</f>
        <v>0</v>
      </c>
      <c r="J12" s="382">
        <f>J13</f>
        <v>2350</v>
      </c>
    </row>
    <row r="13" spans="1:10" ht="13.5" thickBot="1">
      <c r="A13" s="540"/>
      <c r="B13" s="394"/>
      <c r="C13" s="395"/>
      <c r="D13" s="396">
        <v>2212</v>
      </c>
      <c r="E13" s="397">
        <v>6351</v>
      </c>
      <c r="F13" s="398" t="s">
        <v>192</v>
      </c>
      <c r="G13" s="399">
        <v>0</v>
      </c>
      <c r="H13" s="399">
        <v>2350</v>
      </c>
      <c r="I13" s="389"/>
      <c r="J13" s="318">
        <f>H13+I13</f>
        <v>2350</v>
      </c>
    </row>
    <row r="14" spans="1:10" ht="12" customHeight="1">
      <c r="A14" s="540"/>
      <c r="B14" s="400" t="s">
        <v>5</v>
      </c>
      <c r="C14" s="391" t="s">
        <v>230</v>
      </c>
      <c r="D14" s="401" t="s">
        <v>3</v>
      </c>
      <c r="E14" s="401" t="s">
        <v>3</v>
      </c>
      <c r="F14" s="402" t="s">
        <v>231</v>
      </c>
      <c r="G14" s="383">
        <f>SUM(G15:G15)</f>
        <v>0</v>
      </c>
      <c r="H14" s="126">
        <f>SUM(H15:H15)</f>
        <v>486.65699999999924</v>
      </c>
      <c r="I14" s="383">
        <f>SUM(I15:I15)</f>
        <v>0</v>
      </c>
      <c r="J14" s="126">
        <f>SUM(J15:J15)</f>
        <v>486.65699999999924</v>
      </c>
    </row>
    <row r="15" spans="1:10" ht="12" customHeight="1" thickBot="1">
      <c r="A15" s="540"/>
      <c r="B15" s="403"/>
      <c r="C15" s="404"/>
      <c r="D15" s="405">
        <v>2212</v>
      </c>
      <c r="E15" s="405">
        <v>6121</v>
      </c>
      <c r="F15" s="337" t="s">
        <v>197</v>
      </c>
      <c r="G15" s="1">
        <v>0</v>
      </c>
      <c r="H15" s="1">
        <f>9486.657-5000-4000</f>
        <v>486.65699999999924</v>
      </c>
      <c r="I15" s="389"/>
      <c r="J15" s="2">
        <f>H15+I15</f>
        <v>486.65699999999924</v>
      </c>
    </row>
    <row r="16" spans="1:10" ht="12" customHeight="1">
      <c r="A16" s="540"/>
      <c r="B16" s="400" t="s">
        <v>5</v>
      </c>
      <c r="C16" s="391" t="s">
        <v>232</v>
      </c>
      <c r="D16" s="401" t="s">
        <v>3</v>
      </c>
      <c r="E16" s="401" t="s">
        <v>3</v>
      </c>
      <c r="F16" s="406" t="s">
        <v>233</v>
      </c>
      <c r="G16" s="383">
        <f>SUM(G17:G17)</f>
        <v>0</v>
      </c>
      <c r="H16" s="126">
        <f>SUM(H17:H17)</f>
        <v>22937.331</v>
      </c>
      <c r="I16" s="383">
        <f>SUM(I17:I17)</f>
        <v>0</v>
      </c>
      <c r="J16" s="126">
        <f>SUM(J17:J17)</f>
        <v>22937.331</v>
      </c>
    </row>
    <row r="17" spans="1:10" ht="12" customHeight="1" thickBot="1">
      <c r="A17" s="540"/>
      <c r="B17" s="403"/>
      <c r="C17" s="404"/>
      <c r="D17" s="405">
        <v>2212</v>
      </c>
      <c r="E17" s="405">
        <v>6121</v>
      </c>
      <c r="F17" s="337" t="s">
        <v>197</v>
      </c>
      <c r="G17" s="1">
        <v>0</v>
      </c>
      <c r="H17" s="1">
        <f>35937.331-13000</f>
        <v>22937.331</v>
      </c>
      <c r="I17" s="389"/>
      <c r="J17" s="2">
        <f>H17+I17</f>
        <v>22937.331</v>
      </c>
    </row>
    <row r="18" spans="1:10" ht="24.75" customHeight="1">
      <c r="A18" s="540"/>
      <c r="B18" s="400" t="s">
        <v>5</v>
      </c>
      <c r="C18" s="391" t="s">
        <v>234</v>
      </c>
      <c r="D18" s="401" t="s">
        <v>3</v>
      </c>
      <c r="E18" s="401" t="s">
        <v>3</v>
      </c>
      <c r="F18" s="407" t="s">
        <v>235</v>
      </c>
      <c r="G18" s="383">
        <f>SUM(G19:G19)</f>
        <v>0</v>
      </c>
      <c r="H18" s="408">
        <f>SUM(H19:H19)</f>
        <v>711.0230000000001</v>
      </c>
      <c r="I18" s="383">
        <f>SUM(I19:I19)</f>
        <v>0</v>
      </c>
      <c r="J18" s="382">
        <f>J19</f>
        <v>711.0230000000001</v>
      </c>
    </row>
    <row r="19" spans="1:10" ht="12" customHeight="1" thickBot="1">
      <c r="A19" s="540"/>
      <c r="B19" s="403"/>
      <c r="C19" s="395"/>
      <c r="D19" s="405">
        <v>2212</v>
      </c>
      <c r="E19" s="405">
        <v>6121</v>
      </c>
      <c r="F19" s="337" t="s">
        <v>197</v>
      </c>
      <c r="G19" s="1">
        <v>0</v>
      </c>
      <c r="H19" s="1">
        <f>7711.023-7000</f>
        <v>711.0230000000001</v>
      </c>
      <c r="I19" s="389"/>
      <c r="J19" s="1">
        <f>H19+I19</f>
        <v>711.0230000000001</v>
      </c>
    </row>
    <row r="20" spans="1:10" ht="24.75" customHeight="1">
      <c r="A20" s="540"/>
      <c r="B20" s="400" t="s">
        <v>5</v>
      </c>
      <c r="C20" s="391" t="s">
        <v>236</v>
      </c>
      <c r="D20" s="401" t="s">
        <v>3</v>
      </c>
      <c r="E20" s="401" t="s">
        <v>3</v>
      </c>
      <c r="F20" s="407" t="s">
        <v>237</v>
      </c>
      <c r="G20" s="383">
        <f>SUM(G21:G21)</f>
        <v>0</v>
      </c>
      <c r="H20" s="126">
        <f>SUM(H21:H21)</f>
        <v>10847.813999999998</v>
      </c>
      <c r="I20" s="383">
        <f>SUM(I21:I21)</f>
        <v>0</v>
      </c>
      <c r="J20" s="126">
        <f>SUM(J21:J21)</f>
        <v>10847.813999999998</v>
      </c>
    </row>
    <row r="21" spans="1:10" ht="12" customHeight="1" thickBot="1">
      <c r="A21" s="540"/>
      <c r="B21" s="403"/>
      <c r="C21" s="409"/>
      <c r="D21" s="405">
        <v>2212</v>
      </c>
      <c r="E21" s="405">
        <v>6121</v>
      </c>
      <c r="F21" s="337" t="s">
        <v>197</v>
      </c>
      <c r="G21" s="1">
        <v>0</v>
      </c>
      <c r="H21" s="1">
        <f>18847.814-8000</f>
        <v>10847.813999999998</v>
      </c>
      <c r="I21" s="389"/>
      <c r="J21" s="2">
        <f>H21+I21</f>
        <v>10847.813999999998</v>
      </c>
    </row>
    <row r="22" spans="1:10" ht="24.75" customHeight="1">
      <c r="A22" s="540"/>
      <c r="B22" s="410" t="s">
        <v>5</v>
      </c>
      <c r="C22" s="123" t="s">
        <v>238</v>
      </c>
      <c r="D22" s="411" t="s">
        <v>3</v>
      </c>
      <c r="E22" s="411" t="s">
        <v>3</v>
      </c>
      <c r="F22" s="412" t="s">
        <v>239</v>
      </c>
      <c r="G22" s="126">
        <f>SUM(G23:G23)</f>
        <v>0</v>
      </c>
      <c r="H22" s="126">
        <f>SUM(H23:H23)</f>
        <v>85.65</v>
      </c>
      <c r="I22" s="383">
        <f>SUM(I23:I23)</f>
        <v>0</v>
      </c>
      <c r="J22" s="126">
        <f>SUM(J23:J23)</f>
        <v>85.65</v>
      </c>
    </row>
    <row r="23" spans="1:10" ht="12" customHeight="1" thickBot="1">
      <c r="A23" s="540"/>
      <c r="B23" s="413"/>
      <c r="C23" s="414"/>
      <c r="D23" s="415">
        <v>2212</v>
      </c>
      <c r="E23" s="416">
        <v>6351</v>
      </c>
      <c r="F23" s="417" t="s">
        <v>192</v>
      </c>
      <c r="G23" s="43">
        <v>0</v>
      </c>
      <c r="H23" s="389">
        <v>85.65</v>
      </c>
      <c r="I23" s="389"/>
      <c r="J23" s="2">
        <f>H23+I23</f>
        <v>85.65</v>
      </c>
    </row>
    <row r="24" spans="1:10" ht="12.75" customHeight="1">
      <c r="A24" s="540"/>
      <c r="B24" s="418" t="s">
        <v>5</v>
      </c>
      <c r="C24" s="391" t="s">
        <v>240</v>
      </c>
      <c r="D24" s="392" t="s">
        <v>3</v>
      </c>
      <c r="E24" s="392" t="s">
        <v>3</v>
      </c>
      <c r="F24" s="419" t="s">
        <v>241</v>
      </c>
      <c r="G24" s="382">
        <f>SUM(G25:G25)</f>
        <v>20000</v>
      </c>
      <c r="H24" s="126">
        <f>SUM(H25:H25)</f>
        <v>26855.513</v>
      </c>
      <c r="I24" s="383">
        <f>SUM(I25:I25)</f>
        <v>0</v>
      </c>
      <c r="J24" s="382">
        <f>J25</f>
        <v>26855.513</v>
      </c>
    </row>
    <row r="25" spans="1:10" ht="12.75" customHeight="1" thickBot="1">
      <c r="A25" s="540"/>
      <c r="B25" s="420"/>
      <c r="C25" s="395" t="s">
        <v>242</v>
      </c>
      <c r="D25" s="396">
        <v>2212</v>
      </c>
      <c r="E25" s="421">
        <v>6342</v>
      </c>
      <c r="F25" s="417" t="s">
        <v>243</v>
      </c>
      <c r="G25" s="1">
        <v>20000</v>
      </c>
      <c r="H25" s="1">
        <f>20000+1920.513+7000-2065</f>
        <v>26855.513</v>
      </c>
      <c r="I25" s="389"/>
      <c r="J25" s="1">
        <f>H25+I25</f>
        <v>26855.513</v>
      </c>
    </row>
    <row r="26" spans="1:10" ht="24.75" customHeight="1">
      <c r="A26" s="540"/>
      <c r="B26" s="400" t="s">
        <v>5</v>
      </c>
      <c r="C26" s="391" t="s">
        <v>244</v>
      </c>
      <c r="D26" s="401" t="s">
        <v>3</v>
      </c>
      <c r="E26" s="401" t="s">
        <v>3</v>
      </c>
      <c r="F26" s="407" t="s">
        <v>245</v>
      </c>
      <c r="G26" s="382">
        <f>SUM(G27:G28)</f>
        <v>0</v>
      </c>
      <c r="H26" s="382">
        <f>SUM(H27:H28)</f>
        <v>18711.206</v>
      </c>
      <c r="I26" s="382">
        <f>SUM(I27:I28)</f>
        <v>0</v>
      </c>
      <c r="J26" s="382">
        <f>SUM(J27:J28)</f>
        <v>18711.206</v>
      </c>
    </row>
    <row r="27" spans="1:10" ht="12" customHeight="1">
      <c r="A27" s="540"/>
      <c r="B27" s="403"/>
      <c r="C27" s="404"/>
      <c r="D27" s="405">
        <v>2212</v>
      </c>
      <c r="E27" s="405">
        <v>6121</v>
      </c>
      <c r="F27" s="337" t="s">
        <v>197</v>
      </c>
      <c r="G27" s="2">
        <v>0</v>
      </c>
      <c r="H27" s="2">
        <f>3602.206+2109</f>
        <v>5711.206</v>
      </c>
      <c r="I27" s="422"/>
      <c r="J27" s="2">
        <f>H27+I27</f>
        <v>5711.206</v>
      </c>
    </row>
    <row r="28" spans="1:10" ht="12" customHeight="1" thickBot="1">
      <c r="A28" s="540"/>
      <c r="B28" s="423"/>
      <c r="C28" s="424" t="s">
        <v>246</v>
      </c>
      <c r="D28" s="425"/>
      <c r="E28" s="426">
        <v>6121</v>
      </c>
      <c r="F28" s="300" t="s">
        <v>197</v>
      </c>
      <c r="G28" s="399">
        <v>0</v>
      </c>
      <c r="H28" s="427">
        <v>13000</v>
      </c>
      <c r="I28" s="427"/>
      <c r="J28" s="318">
        <f>H28+I28</f>
        <v>13000</v>
      </c>
    </row>
    <row r="29" spans="1:10" ht="12.75">
      <c r="A29" s="540"/>
      <c r="B29" s="400" t="s">
        <v>5</v>
      </c>
      <c r="C29" s="391" t="s">
        <v>247</v>
      </c>
      <c r="D29" s="401" t="s">
        <v>3</v>
      </c>
      <c r="E29" s="401" t="s">
        <v>3</v>
      </c>
      <c r="F29" s="428" t="s">
        <v>248</v>
      </c>
      <c r="G29" s="382">
        <f>SUM(G30:G31)</f>
        <v>27680</v>
      </c>
      <c r="H29" s="382">
        <f>SUM(H30:H31)</f>
        <v>185602.86800000002</v>
      </c>
      <c r="I29" s="382">
        <f>SUM(I30:I31)</f>
        <v>0</v>
      </c>
      <c r="J29" s="382">
        <f>SUM(J30:J31)</f>
        <v>185602.86800000002</v>
      </c>
    </row>
    <row r="30" spans="1:10" ht="12.75">
      <c r="A30" s="540"/>
      <c r="B30" s="403"/>
      <c r="C30" s="404"/>
      <c r="D30" s="405">
        <v>2212</v>
      </c>
      <c r="E30" s="405">
        <v>6121</v>
      </c>
      <c r="F30" s="429" t="s">
        <v>190</v>
      </c>
      <c r="G30" s="2">
        <v>27680</v>
      </c>
      <c r="H30" s="2">
        <f>27680+575.868+12347</f>
        <v>40602.868</v>
      </c>
      <c r="I30" s="422"/>
      <c r="J30" s="2">
        <f>H30+I30</f>
        <v>40602.868</v>
      </c>
    </row>
    <row r="31" spans="1:10" ht="12" customHeight="1" thickBot="1">
      <c r="A31" s="540"/>
      <c r="B31" s="423"/>
      <c r="C31" s="424" t="s">
        <v>246</v>
      </c>
      <c r="D31" s="425"/>
      <c r="E31" s="426">
        <v>6121</v>
      </c>
      <c r="F31" s="300" t="s">
        <v>197</v>
      </c>
      <c r="G31" s="399">
        <v>0</v>
      </c>
      <c r="H31" s="427">
        <v>145000</v>
      </c>
      <c r="I31" s="427"/>
      <c r="J31" s="318">
        <f>H31+I31</f>
        <v>145000</v>
      </c>
    </row>
    <row r="32" spans="1:10" ht="12.75">
      <c r="A32" s="540"/>
      <c r="B32" s="400" t="s">
        <v>5</v>
      </c>
      <c r="C32" s="391" t="s">
        <v>249</v>
      </c>
      <c r="D32" s="401" t="s">
        <v>3</v>
      </c>
      <c r="E32" s="401" t="s">
        <v>3</v>
      </c>
      <c r="F32" s="428" t="s">
        <v>250</v>
      </c>
      <c r="G32" s="382">
        <f>SUM(G33:G34)</f>
        <v>22022</v>
      </c>
      <c r="H32" s="382">
        <f>SUM(H33:H34)</f>
        <v>174441.051</v>
      </c>
      <c r="I32" s="382">
        <f>SUM(I33:I34)</f>
        <v>0</v>
      </c>
      <c r="J32" s="382">
        <f>SUM(J33:J34)</f>
        <v>174441.051</v>
      </c>
    </row>
    <row r="33" spans="1:10" ht="12.75">
      <c r="A33" s="540"/>
      <c r="B33" s="403"/>
      <c r="C33" s="404"/>
      <c r="D33" s="405">
        <v>2212</v>
      </c>
      <c r="E33" s="405">
        <v>6121</v>
      </c>
      <c r="F33" s="429" t="s">
        <v>190</v>
      </c>
      <c r="G33" s="2">
        <v>22022</v>
      </c>
      <c r="H33" s="2">
        <f>22022+480.051+25000+11939</f>
        <v>59441.051</v>
      </c>
      <c r="I33" s="422"/>
      <c r="J33" s="2">
        <f>H33+I33</f>
        <v>59441.051</v>
      </c>
    </row>
    <row r="34" spans="1:10" ht="12" customHeight="1" thickBot="1">
      <c r="A34" s="540"/>
      <c r="B34" s="423"/>
      <c r="C34" s="424" t="s">
        <v>246</v>
      </c>
      <c r="D34" s="425"/>
      <c r="E34" s="426">
        <v>6121</v>
      </c>
      <c r="F34" s="300" t="s">
        <v>197</v>
      </c>
      <c r="G34" s="399">
        <v>0</v>
      </c>
      <c r="H34" s="427">
        <v>115000</v>
      </c>
      <c r="I34" s="427"/>
      <c r="J34" s="318">
        <f>H34+I34</f>
        <v>115000</v>
      </c>
    </row>
    <row r="35" spans="1:10" ht="12" customHeight="1">
      <c r="A35" s="540"/>
      <c r="B35" s="400" t="s">
        <v>5</v>
      </c>
      <c r="C35" s="391" t="s">
        <v>251</v>
      </c>
      <c r="D35" s="401" t="s">
        <v>3</v>
      </c>
      <c r="E35" s="401" t="s">
        <v>3</v>
      </c>
      <c r="F35" s="402" t="s">
        <v>252</v>
      </c>
      <c r="G35" s="382">
        <f>SUM(G36:G37)</f>
        <v>0</v>
      </c>
      <c r="H35" s="382">
        <f>SUM(H36:H37)</f>
        <v>69841.011</v>
      </c>
      <c r="I35" s="382">
        <f>SUM(I36:I37)</f>
        <v>0</v>
      </c>
      <c r="J35" s="382">
        <f>SUM(J36:J37)</f>
        <v>69841.011</v>
      </c>
    </row>
    <row r="36" spans="1:10" ht="12" customHeight="1">
      <c r="A36" s="540"/>
      <c r="B36" s="403"/>
      <c r="C36" s="404"/>
      <c r="D36" s="405">
        <v>2212</v>
      </c>
      <c r="E36" s="405">
        <v>6121</v>
      </c>
      <c r="F36" s="337" t="s">
        <v>197</v>
      </c>
      <c r="G36" s="2">
        <v>0</v>
      </c>
      <c r="H36" s="2">
        <f>717.011+8000+47000-43876</f>
        <v>11841.010999999999</v>
      </c>
      <c r="I36" s="422"/>
      <c r="J36" s="2">
        <f>H36+I36</f>
        <v>11841.010999999999</v>
      </c>
    </row>
    <row r="37" spans="1:11" ht="12" customHeight="1" thickBot="1">
      <c r="A37" s="540"/>
      <c r="B37" s="423"/>
      <c r="C37" s="424" t="s">
        <v>246</v>
      </c>
      <c r="D37" s="425"/>
      <c r="E37" s="426">
        <v>6121</v>
      </c>
      <c r="F37" s="300" t="s">
        <v>197</v>
      </c>
      <c r="G37" s="399">
        <v>0</v>
      </c>
      <c r="H37" s="427">
        <v>58000</v>
      </c>
      <c r="I37" s="427"/>
      <c r="J37" s="318">
        <f>H37+I37</f>
        <v>58000</v>
      </c>
      <c r="K37" s="430"/>
    </row>
    <row r="38" spans="1:10" ht="20.25">
      <c r="A38" s="540"/>
      <c r="B38" s="400" t="s">
        <v>5</v>
      </c>
      <c r="C38" s="123" t="s">
        <v>253</v>
      </c>
      <c r="D38" s="411" t="s">
        <v>3</v>
      </c>
      <c r="E38" s="411" t="s">
        <v>3</v>
      </c>
      <c r="F38" s="412" t="s">
        <v>254</v>
      </c>
      <c r="G38" s="383">
        <f>SUM(G39:G39)</f>
        <v>0</v>
      </c>
      <c r="H38" s="408">
        <f>SUM(H39:H39)</f>
        <v>8500</v>
      </c>
      <c r="I38" s="383">
        <f>SUM(I39:I39)</f>
        <v>0</v>
      </c>
      <c r="J38" s="382">
        <f>J39</f>
        <v>8500</v>
      </c>
    </row>
    <row r="39" spans="1:10" ht="13.5" thickBot="1">
      <c r="A39" s="540"/>
      <c r="B39" s="431"/>
      <c r="C39" s="414"/>
      <c r="D39" s="415">
        <v>2212</v>
      </c>
      <c r="E39" s="416">
        <v>6351</v>
      </c>
      <c r="F39" s="417" t="s">
        <v>192</v>
      </c>
      <c r="G39" s="1">
        <v>0</v>
      </c>
      <c r="H39" s="43">
        <v>8500</v>
      </c>
      <c r="I39" s="389"/>
      <c r="J39" s="1">
        <f>H39+I39</f>
        <v>8500</v>
      </c>
    </row>
    <row r="40" spans="1:10" ht="20.25">
      <c r="A40" s="540"/>
      <c r="B40" s="400" t="s">
        <v>5</v>
      </c>
      <c r="C40" s="123" t="s">
        <v>255</v>
      </c>
      <c r="D40" s="411" t="s">
        <v>3</v>
      </c>
      <c r="E40" s="411" t="s">
        <v>3</v>
      </c>
      <c r="F40" s="412" t="s">
        <v>256</v>
      </c>
      <c r="G40" s="383">
        <f>SUM(G41:G41)</f>
        <v>0</v>
      </c>
      <c r="H40" s="408">
        <f>SUM(H41:H41)</f>
        <v>277.73</v>
      </c>
      <c r="I40" s="383">
        <f>SUM(I41:I41)</f>
        <v>0</v>
      </c>
      <c r="J40" s="382">
        <f>J41</f>
        <v>277.73</v>
      </c>
    </row>
    <row r="41" spans="1:10" ht="13.5" thickBot="1">
      <c r="A41" s="540"/>
      <c r="B41" s="431"/>
      <c r="C41" s="414"/>
      <c r="D41" s="415">
        <v>2212</v>
      </c>
      <c r="E41" s="432">
        <v>5331</v>
      </c>
      <c r="F41" s="433" t="s">
        <v>257</v>
      </c>
      <c r="G41" s="1">
        <v>0</v>
      </c>
      <c r="H41" s="434">
        <v>277.73</v>
      </c>
      <c r="I41" s="389"/>
      <c r="J41" s="1">
        <f>H41+I41</f>
        <v>277.73</v>
      </c>
    </row>
    <row r="42" spans="1:10" ht="20.25">
      <c r="A42" s="540"/>
      <c r="B42" s="400" t="s">
        <v>5</v>
      </c>
      <c r="C42" s="123" t="s">
        <v>258</v>
      </c>
      <c r="D42" s="411" t="s">
        <v>3</v>
      </c>
      <c r="E42" s="411" t="s">
        <v>3</v>
      </c>
      <c r="F42" s="412" t="s">
        <v>259</v>
      </c>
      <c r="G42" s="383">
        <f>SUM(G43:G43)</f>
        <v>0</v>
      </c>
      <c r="H42" s="383">
        <f>SUM(H43:H43)</f>
        <v>5000</v>
      </c>
      <c r="I42" s="383">
        <f>SUM(I43:I43)</f>
        <v>0</v>
      </c>
      <c r="J42" s="382">
        <f>J43</f>
        <v>5000</v>
      </c>
    </row>
    <row r="43" spans="1:10" ht="13.5" thickBot="1">
      <c r="A43" s="540"/>
      <c r="B43" s="431"/>
      <c r="C43" s="414"/>
      <c r="D43" s="415">
        <v>2212</v>
      </c>
      <c r="E43" s="432">
        <v>5331</v>
      </c>
      <c r="F43" s="433" t="s">
        <v>257</v>
      </c>
      <c r="G43" s="1">
        <v>0</v>
      </c>
      <c r="H43" s="389">
        <v>5000</v>
      </c>
      <c r="I43" s="389"/>
      <c r="J43" s="1">
        <f>H43+I43</f>
        <v>5000</v>
      </c>
    </row>
    <row r="44" spans="1:10" ht="20.25">
      <c r="A44" s="540"/>
      <c r="B44" s="400" t="s">
        <v>5</v>
      </c>
      <c r="C44" s="123" t="s">
        <v>260</v>
      </c>
      <c r="D44" s="411" t="s">
        <v>3</v>
      </c>
      <c r="E44" s="411" t="s">
        <v>3</v>
      </c>
      <c r="F44" s="412" t="s">
        <v>261</v>
      </c>
      <c r="G44" s="383">
        <f>SUM(G45:G45)</f>
        <v>0</v>
      </c>
      <c r="H44" s="383">
        <f>SUM(H45:H45)</f>
        <v>660</v>
      </c>
      <c r="I44" s="383">
        <f>SUM(I45:I45)</f>
        <v>0</v>
      </c>
      <c r="J44" s="382">
        <f>J45</f>
        <v>660</v>
      </c>
    </row>
    <row r="45" spans="1:10" ht="13.5" thickBot="1">
      <c r="A45" s="540"/>
      <c r="B45" s="431"/>
      <c r="C45" s="414"/>
      <c r="D45" s="415">
        <v>2212</v>
      </c>
      <c r="E45" s="432">
        <v>5331</v>
      </c>
      <c r="F45" s="433" t="s">
        <v>257</v>
      </c>
      <c r="G45" s="1">
        <v>0</v>
      </c>
      <c r="H45" s="389">
        <v>660</v>
      </c>
      <c r="I45" s="389"/>
      <c r="J45" s="1">
        <f>H45+I45</f>
        <v>660</v>
      </c>
    </row>
    <row r="46" spans="1:10" s="440" customFormat="1" ht="12.75" customHeight="1" thickBot="1">
      <c r="A46" s="540"/>
      <c r="B46" s="435" t="s">
        <v>5</v>
      </c>
      <c r="C46" s="436" t="s">
        <v>3</v>
      </c>
      <c r="D46" s="437" t="s">
        <v>3</v>
      </c>
      <c r="E46" s="437" t="s">
        <v>3</v>
      </c>
      <c r="F46" s="438" t="s">
        <v>262</v>
      </c>
      <c r="G46" s="439">
        <f>G47+G50+G52+G54+G56+G58+G60+G62+G66+G71+G74+G77+G79+G81+G83+G85+G90+G92+G94+G96+G98+G100+G102+G104+G106+G108+G110+G112+G114+G119</f>
        <v>0</v>
      </c>
      <c r="H46" s="439">
        <f>H47+H50+H52+H54+H56+H58+H60+H62+H66+H71+H74+H77+H79+H81+H83+H85+H90+H92+H94+H96+H98+H100+H102+H104+H106+H108+H110+H112+H114+H119</f>
        <v>13491.765</v>
      </c>
      <c r="I46" s="439">
        <f>I47+I50+I52+I54+I56+I58+I60+I62+I66+I71+I74+I77+I79+I81+I83+I85+I90+I92+I94+I96+I98+I100+I102+I104+I106+I108+I110+I112+I114+I119</f>
        <v>0</v>
      </c>
      <c r="J46" s="439">
        <f>J47+J50+J52+J54+J56+J58+J60+J62+J66+J71+J74+J77+J79+J81+J83+J85+J90+J92+J94+J96+J98+J100+J102+J104+J106+J108+J110+J112+J114+J119</f>
        <v>13491.765</v>
      </c>
    </row>
    <row r="47" spans="1:10" s="440" customFormat="1" ht="12.75" customHeight="1">
      <c r="A47" s="540"/>
      <c r="B47" s="441" t="s">
        <v>5</v>
      </c>
      <c r="C47" s="442" t="s">
        <v>263</v>
      </c>
      <c r="D47" s="401" t="s">
        <v>3</v>
      </c>
      <c r="E47" s="401" t="s">
        <v>3</v>
      </c>
      <c r="F47" s="402" t="s">
        <v>264</v>
      </c>
      <c r="G47" s="382">
        <f>SUM(G48:G49)</f>
        <v>0</v>
      </c>
      <c r="H47" s="382">
        <f>SUM(H48:H49)</f>
        <v>0</v>
      </c>
      <c r="I47" s="382">
        <f>SUM(I48:I49)</f>
        <v>0</v>
      </c>
      <c r="J47" s="382">
        <f>SUM(J48:J49)</f>
        <v>0</v>
      </c>
    </row>
    <row r="48" spans="1:10" s="440" customFormat="1" ht="12.75" customHeight="1">
      <c r="A48" s="540"/>
      <c r="B48" s="443"/>
      <c r="C48" s="444"/>
      <c r="D48" s="405">
        <v>2212</v>
      </c>
      <c r="E48" s="445">
        <v>5901</v>
      </c>
      <c r="F48" s="446" t="s">
        <v>265</v>
      </c>
      <c r="G48" s="447">
        <v>0</v>
      </c>
      <c r="H48" s="448">
        <f>1565.824-435.123+(457.941-344.68)-1243.962</f>
        <v>0</v>
      </c>
      <c r="I48" s="272"/>
      <c r="J48" s="448">
        <f>H48+I48</f>
        <v>0</v>
      </c>
    </row>
    <row r="49" spans="1:10" s="440" customFormat="1" ht="12.75" customHeight="1" thickBot="1">
      <c r="A49" s="540"/>
      <c r="B49" s="449"/>
      <c r="C49" s="450" t="s">
        <v>266</v>
      </c>
      <c r="D49" s="421">
        <v>2212</v>
      </c>
      <c r="E49" s="451">
        <v>5901</v>
      </c>
      <c r="F49" s="452" t="s">
        <v>265</v>
      </c>
      <c r="G49" s="453">
        <v>0</v>
      </c>
      <c r="H49" s="1">
        <f>11468-2605.655-8862.345</f>
        <v>0</v>
      </c>
      <c r="I49" s="1"/>
      <c r="J49" s="1">
        <f>H49+I49</f>
        <v>0</v>
      </c>
    </row>
    <row r="50" spans="1:10" s="440" customFormat="1" ht="12.75" customHeight="1">
      <c r="A50" s="540"/>
      <c r="B50" s="454" t="s">
        <v>5</v>
      </c>
      <c r="C50" s="455" t="s">
        <v>267</v>
      </c>
      <c r="D50" s="456" t="s">
        <v>3</v>
      </c>
      <c r="E50" s="456" t="s">
        <v>3</v>
      </c>
      <c r="F50" s="457" t="s">
        <v>268</v>
      </c>
      <c r="G50" s="458">
        <f>SUM(G51:G51)</f>
        <v>0</v>
      </c>
      <c r="H50" s="458">
        <f>SUM(H51:H51)</f>
        <v>18.031</v>
      </c>
      <c r="I50" s="126">
        <f aca="true" t="shared" si="0" ref="I50:I60">SUM(I51:I51)</f>
        <v>0</v>
      </c>
      <c r="J50" s="458">
        <f>SUM(J51:J51)</f>
        <v>18.031</v>
      </c>
    </row>
    <row r="51" spans="1:10" s="440" customFormat="1" ht="12.75" customHeight="1" thickBot="1">
      <c r="A51" s="540"/>
      <c r="B51" s="443"/>
      <c r="C51" s="444"/>
      <c r="D51" s="405">
        <v>2212</v>
      </c>
      <c r="E51" s="445">
        <v>5169</v>
      </c>
      <c r="F51" s="446" t="s">
        <v>65</v>
      </c>
      <c r="G51" s="447">
        <v>0</v>
      </c>
      <c r="H51" s="272">
        <v>18.031</v>
      </c>
      <c r="I51" s="1"/>
      <c r="J51" s="448">
        <f>H51+I51</f>
        <v>18.031</v>
      </c>
    </row>
    <row r="52" spans="1:10" s="440" customFormat="1" ht="12.75" customHeight="1">
      <c r="A52" s="540"/>
      <c r="B52" s="441" t="s">
        <v>5</v>
      </c>
      <c r="C52" s="442" t="s">
        <v>269</v>
      </c>
      <c r="D52" s="401" t="s">
        <v>3</v>
      </c>
      <c r="E52" s="401" t="s">
        <v>3</v>
      </c>
      <c r="F52" s="402" t="s">
        <v>270</v>
      </c>
      <c r="G52" s="382">
        <f>SUM(G53:G53)</f>
        <v>0</v>
      </c>
      <c r="H52" s="382">
        <f>SUM(H53:H53)</f>
        <v>18.031</v>
      </c>
      <c r="I52" s="126">
        <f t="shared" si="0"/>
        <v>0</v>
      </c>
      <c r="J52" s="382">
        <f>SUM(J53:J53)</f>
        <v>18.031</v>
      </c>
    </row>
    <row r="53" spans="1:10" s="440" customFormat="1" ht="12.75" customHeight="1" thickBot="1">
      <c r="A53" s="540"/>
      <c r="B53" s="459"/>
      <c r="C53" s="460"/>
      <c r="D53" s="421">
        <v>2212</v>
      </c>
      <c r="E53" s="451">
        <v>5169</v>
      </c>
      <c r="F53" s="461" t="s">
        <v>65</v>
      </c>
      <c r="G53" s="453">
        <v>0</v>
      </c>
      <c r="H53" s="318">
        <v>18.031</v>
      </c>
      <c r="I53" s="1"/>
      <c r="J53" s="462">
        <f>H53+I53</f>
        <v>18.031</v>
      </c>
    </row>
    <row r="54" spans="1:10" s="440" customFormat="1" ht="12.75" customHeight="1">
      <c r="A54" s="540"/>
      <c r="B54" s="454" t="s">
        <v>5</v>
      </c>
      <c r="C54" s="455" t="s">
        <v>271</v>
      </c>
      <c r="D54" s="456" t="s">
        <v>3</v>
      </c>
      <c r="E54" s="456" t="s">
        <v>3</v>
      </c>
      <c r="F54" s="457" t="s">
        <v>272</v>
      </c>
      <c r="G54" s="458">
        <f>SUM(G55:G55)</f>
        <v>0</v>
      </c>
      <c r="H54" s="458">
        <f>SUM(H55:H55)</f>
        <v>18.031</v>
      </c>
      <c r="I54" s="126">
        <f t="shared" si="0"/>
        <v>0</v>
      </c>
      <c r="J54" s="458">
        <f>SUM(J55:J55)</f>
        <v>18.031</v>
      </c>
    </row>
    <row r="55" spans="1:10" s="440" customFormat="1" ht="12.75" customHeight="1" thickBot="1">
      <c r="A55" s="540"/>
      <c r="B55" s="443"/>
      <c r="C55" s="444"/>
      <c r="D55" s="405">
        <v>2212</v>
      </c>
      <c r="E55" s="445">
        <v>5169</v>
      </c>
      <c r="F55" s="446" t="s">
        <v>65</v>
      </c>
      <c r="G55" s="447">
        <v>0</v>
      </c>
      <c r="H55" s="272">
        <v>18.031</v>
      </c>
      <c r="I55" s="1"/>
      <c r="J55" s="448">
        <f>H55+I55</f>
        <v>18.031</v>
      </c>
    </row>
    <row r="56" spans="1:10" s="440" customFormat="1" ht="12.75" customHeight="1">
      <c r="A56" s="540"/>
      <c r="B56" s="441" t="s">
        <v>5</v>
      </c>
      <c r="C56" s="442" t="s">
        <v>273</v>
      </c>
      <c r="D56" s="401" t="s">
        <v>3</v>
      </c>
      <c r="E56" s="401" t="s">
        <v>3</v>
      </c>
      <c r="F56" s="402" t="s">
        <v>274</v>
      </c>
      <c r="G56" s="382">
        <f>SUM(G57:G57)</f>
        <v>0</v>
      </c>
      <c r="H56" s="382">
        <f>SUM(H57:H57)</f>
        <v>386.267</v>
      </c>
      <c r="I56" s="126">
        <f t="shared" si="0"/>
        <v>0</v>
      </c>
      <c r="J56" s="382">
        <f>SUM(J57:J57)</f>
        <v>386.267</v>
      </c>
    </row>
    <row r="57" spans="1:10" ht="12.75" customHeight="1" thickBot="1">
      <c r="A57" s="540"/>
      <c r="B57" s="431"/>
      <c r="C57" s="463"/>
      <c r="D57" s="421">
        <v>2212</v>
      </c>
      <c r="E57" s="451">
        <v>5171</v>
      </c>
      <c r="F57" s="452" t="s">
        <v>275</v>
      </c>
      <c r="G57" s="1">
        <v>0</v>
      </c>
      <c r="H57" s="1">
        <v>386.267</v>
      </c>
      <c r="I57" s="1"/>
      <c r="J57" s="1">
        <f>H57+I57</f>
        <v>386.267</v>
      </c>
    </row>
    <row r="58" spans="1:10" s="440" customFormat="1" ht="12.75" customHeight="1">
      <c r="A58" s="540"/>
      <c r="B58" s="441" t="s">
        <v>5</v>
      </c>
      <c r="C58" s="442" t="s">
        <v>276</v>
      </c>
      <c r="D58" s="401" t="s">
        <v>3</v>
      </c>
      <c r="E58" s="401" t="s">
        <v>3</v>
      </c>
      <c r="F58" s="402" t="s">
        <v>277</v>
      </c>
      <c r="G58" s="382">
        <f>SUM(G59:G59)</f>
        <v>0</v>
      </c>
      <c r="H58" s="382">
        <f>SUM(H59:H59)</f>
        <v>9.227</v>
      </c>
      <c r="I58" s="126">
        <f t="shared" si="0"/>
        <v>0</v>
      </c>
      <c r="J58" s="382">
        <f>SUM(J59:J59)</f>
        <v>9.227</v>
      </c>
    </row>
    <row r="59" spans="1:10" s="440" customFormat="1" ht="12.75" customHeight="1" thickBot="1">
      <c r="A59" s="540"/>
      <c r="B59" s="506"/>
      <c r="C59" s="460"/>
      <c r="D59" s="421">
        <v>2212</v>
      </c>
      <c r="E59" s="451">
        <v>5169</v>
      </c>
      <c r="F59" s="461" t="s">
        <v>65</v>
      </c>
      <c r="G59" s="453">
        <v>0</v>
      </c>
      <c r="H59" s="1">
        <v>9.227</v>
      </c>
      <c r="I59" s="1"/>
      <c r="J59" s="462">
        <f>H59+I59</f>
        <v>9.227</v>
      </c>
    </row>
    <row r="60" spans="1:10" s="440" customFormat="1" ht="12.75" customHeight="1">
      <c r="A60" s="540"/>
      <c r="B60" s="441" t="s">
        <v>5</v>
      </c>
      <c r="C60" s="442" t="s">
        <v>278</v>
      </c>
      <c r="D60" s="401" t="s">
        <v>3</v>
      </c>
      <c r="E60" s="401" t="s">
        <v>3</v>
      </c>
      <c r="F60" s="402" t="s">
        <v>279</v>
      </c>
      <c r="G60" s="382">
        <f>SUM(G61:G61)</f>
        <v>0</v>
      </c>
      <c r="H60" s="382">
        <f>SUM(H61:H61)</f>
        <v>9.227</v>
      </c>
      <c r="I60" s="126">
        <f t="shared" si="0"/>
        <v>0</v>
      </c>
      <c r="J60" s="382">
        <f>SUM(J61:J61)</f>
        <v>9.227</v>
      </c>
    </row>
    <row r="61" spans="1:10" s="440" customFormat="1" ht="12.75" customHeight="1" thickBot="1">
      <c r="A61" s="540"/>
      <c r="B61" s="443"/>
      <c r="C61" s="444"/>
      <c r="D61" s="405">
        <v>2212</v>
      </c>
      <c r="E61" s="445">
        <v>5169</v>
      </c>
      <c r="F61" s="446" t="s">
        <v>65</v>
      </c>
      <c r="G61" s="447">
        <v>0</v>
      </c>
      <c r="H61" s="272">
        <v>9.227</v>
      </c>
      <c r="I61" s="1"/>
      <c r="J61" s="448">
        <f>H61+I61</f>
        <v>9.227</v>
      </c>
    </row>
    <row r="62" spans="1:10" s="440" customFormat="1" ht="12.75" customHeight="1">
      <c r="A62" s="540"/>
      <c r="B62" s="441" t="s">
        <v>5</v>
      </c>
      <c r="C62" s="442" t="s">
        <v>280</v>
      </c>
      <c r="D62" s="401" t="s">
        <v>3</v>
      </c>
      <c r="E62" s="401" t="s">
        <v>3</v>
      </c>
      <c r="F62" s="402" t="s">
        <v>281</v>
      </c>
      <c r="G62" s="382">
        <f>SUM(G63:G65)</f>
        <v>0</v>
      </c>
      <c r="H62" s="382">
        <f>SUM(H63:H65)</f>
        <v>1435.1800000000003</v>
      </c>
      <c r="I62" s="382">
        <f>SUM(I63:I65)</f>
        <v>0</v>
      </c>
      <c r="J62" s="382">
        <f>SUM(J63:J65)</f>
        <v>1435.1800000000003</v>
      </c>
    </row>
    <row r="63" spans="1:10" s="440" customFormat="1" ht="12.75" customHeight="1">
      <c r="A63" s="540"/>
      <c r="B63" s="443"/>
      <c r="C63" s="444"/>
      <c r="D63" s="405">
        <v>2212</v>
      </c>
      <c r="E63" s="445">
        <v>5169</v>
      </c>
      <c r="F63" s="446" t="s">
        <v>65</v>
      </c>
      <c r="G63" s="447">
        <v>0</v>
      </c>
      <c r="H63" s="272">
        <v>87.967</v>
      </c>
      <c r="I63" s="272"/>
      <c r="J63" s="448">
        <f>H63+I63</f>
        <v>87.967</v>
      </c>
    </row>
    <row r="64" spans="1:10" s="440" customFormat="1" ht="12.75" customHeight="1">
      <c r="A64" s="540"/>
      <c r="B64" s="464"/>
      <c r="C64" s="465"/>
      <c r="D64" s="466">
        <v>2212</v>
      </c>
      <c r="E64" s="467">
        <v>5171</v>
      </c>
      <c r="F64" s="468" t="s">
        <v>275</v>
      </c>
      <c r="G64" s="76">
        <v>0</v>
      </c>
      <c r="H64" s="76">
        <v>202.082</v>
      </c>
      <c r="I64" s="76"/>
      <c r="J64" s="448">
        <f>H64+I64</f>
        <v>202.082</v>
      </c>
    </row>
    <row r="65" spans="1:10" ht="12.75" customHeight="1" thickBot="1">
      <c r="A65" s="540"/>
      <c r="B65" s="469"/>
      <c r="C65" s="450" t="s">
        <v>266</v>
      </c>
      <c r="D65" s="396">
        <v>2212</v>
      </c>
      <c r="E65" s="397">
        <v>5171</v>
      </c>
      <c r="F65" s="470" t="s">
        <v>275</v>
      </c>
      <c r="G65" s="318">
        <v>0</v>
      </c>
      <c r="H65" s="1">
        <f>2266.61-919.397-202.082</f>
        <v>1145.1310000000003</v>
      </c>
      <c r="I65" s="119"/>
      <c r="J65" s="472">
        <f>H65+I65</f>
        <v>1145.1310000000003</v>
      </c>
    </row>
    <row r="66" spans="1:10" ht="12.75" customHeight="1">
      <c r="A66" s="540"/>
      <c r="B66" s="441" t="s">
        <v>5</v>
      </c>
      <c r="C66" s="123" t="s">
        <v>282</v>
      </c>
      <c r="D66" s="124" t="s">
        <v>3</v>
      </c>
      <c r="E66" s="124" t="s">
        <v>3</v>
      </c>
      <c r="F66" s="177" t="s">
        <v>283</v>
      </c>
      <c r="G66" s="126">
        <f>SUM(G67:G70)</f>
        <v>0</v>
      </c>
      <c r="H66" s="126">
        <f>SUM(H67:H70)</f>
        <v>1487.855</v>
      </c>
      <c r="I66" s="126">
        <f>SUM(I67:I70)</f>
        <v>0</v>
      </c>
      <c r="J66" s="126">
        <f>SUM(J67:J70)</f>
        <v>1487.855</v>
      </c>
    </row>
    <row r="67" spans="1:10" ht="12.75" customHeight="1">
      <c r="A67" s="540"/>
      <c r="B67" s="474"/>
      <c r="C67" s="475"/>
      <c r="D67" s="476">
        <v>2212</v>
      </c>
      <c r="E67" s="477">
        <v>5169</v>
      </c>
      <c r="F67" s="478" t="s">
        <v>65</v>
      </c>
      <c r="G67" s="42">
        <v>0</v>
      </c>
      <c r="H67" s="76">
        <v>5.677</v>
      </c>
      <c r="I67" s="76"/>
      <c r="J67" s="448">
        <f>H67+I67</f>
        <v>5.677</v>
      </c>
    </row>
    <row r="68" spans="1:10" ht="12.75" customHeight="1">
      <c r="A68" s="540"/>
      <c r="B68" s="474"/>
      <c r="C68" s="479" t="s">
        <v>266</v>
      </c>
      <c r="D68" s="476">
        <v>2212</v>
      </c>
      <c r="E68" s="477">
        <v>5169</v>
      </c>
      <c r="F68" s="478" t="s">
        <v>65</v>
      </c>
      <c r="G68" s="42">
        <v>0</v>
      </c>
      <c r="H68" s="76">
        <v>32.166</v>
      </c>
      <c r="I68" s="76"/>
      <c r="J68" s="480">
        <f>H68+I68</f>
        <v>32.166</v>
      </c>
    </row>
    <row r="69" spans="1:10" ht="12.75" customHeight="1">
      <c r="A69" s="540"/>
      <c r="B69" s="464"/>
      <c r="C69" s="465"/>
      <c r="D69" s="466">
        <v>2212</v>
      </c>
      <c r="E69" s="467">
        <v>5171</v>
      </c>
      <c r="F69" s="468" t="s">
        <v>275</v>
      </c>
      <c r="G69" s="76">
        <v>0</v>
      </c>
      <c r="H69" s="76">
        <v>217.502</v>
      </c>
      <c r="I69" s="76"/>
      <c r="J69" s="448">
        <f>H69+I69</f>
        <v>217.502</v>
      </c>
    </row>
    <row r="70" spans="1:10" ht="12.75" customHeight="1" thickBot="1">
      <c r="A70" s="540"/>
      <c r="B70" s="481"/>
      <c r="C70" s="482" t="s">
        <v>266</v>
      </c>
      <c r="D70" s="415">
        <v>2212</v>
      </c>
      <c r="E70" s="483">
        <v>5171</v>
      </c>
      <c r="F70" s="484" t="s">
        <v>275</v>
      </c>
      <c r="G70" s="119">
        <v>0</v>
      </c>
      <c r="H70" s="119">
        <v>1232.51</v>
      </c>
      <c r="I70" s="119"/>
      <c r="J70" s="480">
        <f>H70+I70</f>
        <v>1232.51</v>
      </c>
    </row>
    <row r="71" spans="1:10" ht="12.75" customHeight="1">
      <c r="A71" s="540"/>
      <c r="B71" s="441" t="s">
        <v>5</v>
      </c>
      <c r="C71" s="391" t="s">
        <v>115</v>
      </c>
      <c r="D71" s="401" t="s">
        <v>3</v>
      </c>
      <c r="E71" s="401" t="s">
        <v>3</v>
      </c>
      <c r="F71" s="402" t="s">
        <v>116</v>
      </c>
      <c r="G71" s="382">
        <f>SUM(G72:G73)</f>
        <v>0</v>
      </c>
      <c r="H71" s="382">
        <f>SUM(H72:H73)</f>
        <v>21.402</v>
      </c>
      <c r="I71" s="382">
        <f>SUM(I72:I73)</f>
        <v>0</v>
      </c>
      <c r="J71" s="382">
        <f>SUM(J72:J73)</f>
        <v>21.402</v>
      </c>
    </row>
    <row r="72" spans="1:11" ht="12.75" customHeight="1">
      <c r="A72" s="540"/>
      <c r="B72" s="403"/>
      <c r="C72" s="404"/>
      <c r="D72" s="405">
        <v>2212</v>
      </c>
      <c r="E72" s="445">
        <v>5169</v>
      </c>
      <c r="F72" s="446" t="s">
        <v>65</v>
      </c>
      <c r="G72" s="2">
        <v>0</v>
      </c>
      <c r="H72" s="2">
        <f>7.79+13.612</f>
        <v>21.402</v>
      </c>
      <c r="I72" s="272"/>
      <c r="J72" s="2">
        <f>H72+I72</f>
        <v>21.402</v>
      </c>
      <c r="K72" s="485"/>
    </row>
    <row r="73" spans="1:10" ht="12.75" customHeight="1" thickBot="1">
      <c r="A73" s="540"/>
      <c r="B73" s="469"/>
      <c r="C73" s="450" t="s">
        <v>266</v>
      </c>
      <c r="D73" s="396">
        <v>2212</v>
      </c>
      <c r="E73" s="397">
        <v>5171</v>
      </c>
      <c r="F73" s="470" t="s">
        <v>275</v>
      </c>
      <c r="G73" s="318">
        <v>0</v>
      </c>
      <c r="H73" s="1">
        <v>0</v>
      </c>
      <c r="I73" s="1"/>
      <c r="J73" s="318">
        <f>H73+I73</f>
        <v>0</v>
      </c>
    </row>
    <row r="74" spans="1:10" ht="12.75" customHeight="1">
      <c r="A74" s="540"/>
      <c r="B74" s="441" t="s">
        <v>5</v>
      </c>
      <c r="C74" s="391" t="s">
        <v>284</v>
      </c>
      <c r="D74" s="401" t="s">
        <v>3</v>
      </c>
      <c r="E74" s="401" t="s">
        <v>3</v>
      </c>
      <c r="F74" s="402" t="s">
        <v>285</v>
      </c>
      <c r="G74" s="382">
        <f>SUM(G75:G76)</f>
        <v>0</v>
      </c>
      <c r="H74" s="382">
        <f>SUM(H75:H76)</f>
        <v>271.149</v>
      </c>
      <c r="I74" s="382">
        <f>SUM(I75:I76)</f>
        <v>0</v>
      </c>
      <c r="J74" s="382">
        <f>SUM(J75:J76)</f>
        <v>271.149</v>
      </c>
    </row>
    <row r="75" spans="1:10" ht="12.75" customHeight="1">
      <c r="A75" s="540"/>
      <c r="B75" s="403"/>
      <c r="C75" s="404"/>
      <c r="D75" s="405">
        <v>2212</v>
      </c>
      <c r="E75" s="445">
        <v>5169</v>
      </c>
      <c r="F75" s="446" t="s">
        <v>65</v>
      </c>
      <c r="G75" s="2">
        <v>0</v>
      </c>
      <c r="H75" s="2">
        <f>7.79+13.612</f>
        <v>21.402</v>
      </c>
      <c r="I75" s="2"/>
      <c r="J75" s="2">
        <f>H75+I75</f>
        <v>21.402</v>
      </c>
    </row>
    <row r="76" spans="1:10" ht="12.75" customHeight="1" thickBot="1">
      <c r="A76" s="540"/>
      <c r="B76" s="469"/>
      <c r="C76" s="450" t="s">
        <v>266</v>
      </c>
      <c r="D76" s="396">
        <v>2212</v>
      </c>
      <c r="E76" s="397">
        <v>5171</v>
      </c>
      <c r="F76" s="470" t="s">
        <v>275</v>
      </c>
      <c r="G76" s="318">
        <v>0</v>
      </c>
      <c r="H76" s="318">
        <f>339.045-89.298</f>
        <v>249.747</v>
      </c>
      <c r="I76" s="318"/>
      <c r="J76" s="472">
        <f>H76+I76</f>
        <v>249.747</v>
      </c>
    </row>
    <row r="77" spans="1:10" ht="12.75" customHeight="1">
      <c r="A77" s="540"/>
      <c r="B77" s="441" t="s">
        <v>5</v>
      </c>
      <c r="C77" s="391" t="s">
        <v>127</v>
      </c>
      <c r="D77" s="401" t="s">
        <v>3</v>
      </c>
      <c r="E77" s="401" t="s">
        <v>3</v>
      </c>
      <c r="F77" s="402" t="s">
        <v>128</v>
      </c>
      <c r="G77" s="382">
        <f>SUM(G78:G78)</f>
        <v>0</v>
      </c>
      <c r="H77" s="382">
        <f>SUM(H78:H78)</f>
        <v>8.319</v>
      </c>
      <c r="I77" s="126">
        <f>SUM(I78:I78)</f>
        <v>0</v>
      </c>
      <c r="J77" s="382">
        <f>SUM(J78:J78)</f>
        <v>8.319</v>
      </c>
    </row>
    <row r="78" spans="1:10" ht="12.75" customHeight="1" thickBot="1">
      <c r="A78" s="540"/>
      <c r="B78" s="403"/>
      <c r="C78" s="404"/>
      <c r="D78" s="405">
        <v>2212</v>
      </c>
      <c r="E78" s="445">
        <v>5169</v>
      </c>
      <c r="F78" s="446" t="s">
        <v>65</v>
      </c>
      <c r="G78" s="2">
        <v>0</v>
      </c>
      <c r="H78" s="2">
        <v>8.319</v>
      </c>
      <c r="I78" s="1"/>
      <c r="J78" s="2">
        <f>H78+I78</f>
        <v>8.319</v>
      </c>
    </row>
    <row r="79" spans="1:10" ht="12.75" customHeight="1">
      <c r="A79" s="540"/>
      <c r="B79" s="441" t="s">
        <v>5</v>
      </c>
      <c r="C79" s="391" t="s">
        <v>129</v>
      </c>
      <c r="D79" s="401" t="s">
        <v>3</v>
      </c>
      <c r="E79" s="401" t="s">
        <v>3</v>
      </c>
      <c r="F79" s="402" t="s">
        <v>130</v>
      </c>
      <c r="G79" s="382">
        <f>SUM(G80:G80)</f>
        <v>0</v>
      </c>
      <c r="H79" s="382">
        <f>SUM(H80:H80)</f>
        <v>8.319</v>
      </c>
      <c r="I79" s="126">
        <f>SUM(I80:I80)</f>
        <v>0</v>
      </c>
      <c r="J79" s="382">
        <f>SUM(J80:J80)</f>
        <v>8.319</v>
      </c>
    </row>
    <row r="80" spans="1:10" ht="12.75" customHeight="1" thickBot="1">
      <c r="A80" s="540"/>
      <c r="B80" s="403"/>
      <c r="C80" s="404"/>
      <c r="D80" s="405">
        <v>2212</v>
      </c>
      <c r="E80" s="445">
        <v>5169</v>
      </c>
      <c r="F80" s="446" t="s">
        <v>65</v>
      </c>
      <c r="G80" s="2">
        <v>0</v>
      </c>
      <c r="H80" s="2">
        <v>8.319</v>
      </c>
      <c r="I80" s="1"/>
      <c r="J80" s="2">
        <f>H80+I80</f>
        <v>8.319</v>
      </c>
    </row>
    <row r="81" spans="1:10" ht="12.75" customHeight="1">
      <c r="A81" s="540"/>
      <c r="B81" s="441" t="s">
        <v>5</v>
      </c>
      <c r="C81" s="391" t="s">
        <v>131</v>
      </c>
      <c r="D81" s="401" t="s">
        <v>3</v>
      </c>
      <c r="E81" s="401" t="s">
        <v>3</v>
      </c>
      <c r="F81" s="402" t="s">
        <v>132</v>
      </c>
      <c r="G81" s="382">
        <f>SUM(G82:G82)</f>
        <v>0</v>
      </c>
      <c r="H81" s="382">
        <f>SUM(H82:H82)</f>
        <v>8.319</v>
      </c>
      <c r="I81" s="126">
        <f>SUM(I82:I82)</f>
        <v>0</v>
      </c>
      <c r="J81" s="382">
        <f>SUM(J82:J82)</f>
        <v>8.319</v>
      </c>
    </row>
    <row r="82" spans="1:10" ht="12.75" customHeight="1" thickBot="1">
      <c r="A82" s="540"/>
      <c r="B82" s="403"/>
      <c r="C82" s="404"/>
      <c r="D82" s="405">
        <v>2212</v>
      </c>
      <c r="E82" s="445">
        <v>5169</v>
      </c>
      <c r="F82" s="446" t="s">
        <v>65</v>
      </c>
      <c r="G82" s="2">
        <v>0</v>
      </c>
      <c r="H82" s="2">
        <v>8.319</v>
      </c>
      <c r="I82" s="1"/>
      <c r="J82" s="2">
        <f>H82+I82</f>
        <v>8.319</v>
      </c>
    </row>
    <row r="83" spans="1:10" ht="12.75" customHeight="1">
      <c r="A83" s="540"/>
      <c r="B83" s="441" t="s">
        <v>5</v>
      </c>
      <c r="C83" s="391" t="s">
        <v>133</v>
      </c>
      <c r="D83" s="401" t="s">
        <v>3</v>
      </c>
      <c r="E83" s="401" t="s">
        <v>3</v>
      </c>
      <c r="F83" s="402" t="s">
        <v>134</v>
      </c>
      <c r="G83" s="382">
        <f>SUM(G84:G84)</f>
        <v>0</v>
      </c>
      <c r="H83" s="382">
        <f>SUM(H84:H84)</f>
        <v>8.319</v>
      </c>
      <c r="I83" s="126">
        <f>SUM(I84:I84)</f>
        <v>0</v>
      </c>
      <c r="J83" s="382">
        <f>SUM(J84:J84)</f>
        <v>8.319</v>
      </c>
    </row>
    <row r="84" spans="1:10" ht="12.75" customHeight="1" thickBot="1">
      <c r="A84" s="540"/>
      <c r="B84" s="431"/>
      <c r="C84" s="463"/>
      <c r="D84" s="421">
        <v>2212</v>
      </c>
      <c r="E84" s="451">
        <v>5169</v>
      </c>
      <c r="F84" s="461" t="s">
        <v>65</v>
      </c>
      <c r="G84" s="1">
        <v>0</v>
      </c>
      <c r="H84" s="2">
        <v>8.319</v>
      </c>
      <c r="I84" s="1"/>
      <c r="J84" s="1">
        <f>H84+I84</f>
        <v>8.319</v>
      </c>
    </row>
    <row r="85" spans="1:10" ht="12.75" customHeight="1">
      <c r="A85" s="540"/>
      <c r="B85" s="441" t="s">
        <v>5</v>
      </c>
      <c r="C85" s="123" t="s">
        <v>286</v>
      </c>
      <c r="D85" s="124" t="s">
        <v>3</v>
      </c>
      <c r="E85" s="124" t="s">
        <v>3</v>
      </c>
      <c r="F85" s="177" t="s">
        <v>287</v>
      </c>
      <c r="G85" s="126">
        <f>SUM(G86:G89)</f>
        <v>0</v>
      </c>
      <c r="H85" s="126">
        <f>SUM(H86:H89)</f>
        <v>1200.017</v>
      </c>
      <c r="I85" s="126">
        <f>SUM(I86:I89)</f>
        <v>0</v>
      </c>
      <c r="J85" s="126">
        <f>SUM(J86:J89)</f>
        <v>1200.017</v>
      </c>
    </row>
    <row r="86" spans="1:10" ht="12.75" customHeight="1">
      <c r="A86" s="540"/>
      <c r="B86" s="474"/>
      <c r="C86" s="475"/>
      <c r="D86" s="476">
        <v>2212</v>
      </c>
      <c r="E86" s="477">
        <v>5169</v>
      </c>
      <c r="F86" s="478" t="s">
        <v>65</v>
      </c>
      <c r="G86" s="42">
        <v>0</v>
      </c>
      <c r="H86" s="76">
        <v>5.691</v>
      </c>
      <c r="I86" s="76"/>
      <c r="J86" s="448">
        <f>H86+I86</f>
        <v>5.691</v>
      </c>
    </row>
    <row r="87" spans="1:10" ht="12.75" customHeight="1">
      <c r="A87" s="540"/>
      <c r="B87" s="474"/>
      <c r="C87" s="479" t="s">
        <v>266</v>
      </c>
      <c r="D87" s="476">
        <v>2212</v>
      </c>
      <c r="E87" s="477">
        <v>5169</v>
      </c>
      <c r="F87" s="478" t="s">
        <v>65</v>
      </c>
      <c r="G87" s="42">
        <v>0</v>
      </c>
      <c r="H87" s="76">
        <v>32.248</v>
      </c>
      <c r="I87" s="76"/>
      <c r="J87" s="480">
        <f>H87+I87</f>
        <v>32.248</v>
      </c>
    </row>
    <row r="88" spans="1:10" ht="12.75" customHeight="1">
      <c r="A88" s="540"/>
      <c r="B88" s="474"/>
      <c r="C88" s="475"/>
      <c r="D88" s="476">
        <v>2212</v>
      </c>
      <c r="E88" s="477">
        <v>5171</v>
      </c>
      <c r="F88" s="486" t="s">
        <v>275</v>
      </c>
      <c r="G88" s="76">
        <v>0</v>
      </c>
      <c r="H88" s="76">
        <v>174.312</v>
      </c>
      <c r="I88" s="76"/>
      <c r="J88" s="448">
        <f>H88+I88</f>
        <v>174.312</v>
      </c>
    </row>
    <row r="89" spans="1:10" ht="12.75" customHeight="1" thickBot="1">
      <c r="A89" s="540"/>
      <c r="B89" s="481"/>
      <c r="C89" s="482" t="s">
        <v>266</v>
      </c>
      <c r="D89" s="415">
        <v>2212</v>
      </c>
      <c r="E89" s="483">
        <v>5171</v>
      </c>
      <c r="F89" s="484" t="s">
        <v>275</v>
      </c>
      <c r="G89" s="119">
        <v>0</v>
      </c>
      <c r="H89" s="119">
        <v>987.766</v>
      </c>
      <c r="I89" s="119"/>
      <c r="J89" s="480">
        <f>H89+I89</f>
        <v>987.766</v>
      </c>
    </row>
    <row r="90" spans="1:10" ht="12.75" customHeight="1">
      <c r="A90" s="540"/>
      <c r="B90" s="441" t="s">
        <v>5</v>
      </c>
      <c r="C90" s="391" t="s">
        <v>288</v>
      </c>
      <c r="D90" s="401" t="s">
        <v>3</v>
      </c>
      <c r="E90" s="401" t="s">
        <v>3</v>
      </c>
      <c r="F90" s="402" t="s">
        <v>289</v>
      </c>
      <c r="G90" s="382">
        <f>SUM(G91:G91)</f>
        <v>0</v>
      </c>
      <c r="H90" s="382">
        <f>SUM(H91:H91)</f>
        <v>3.933</v>
      </c>
      <c r="I90" s="126">
        <f>SUM(I91:I91)</f>
        <v>0</v>
      </c>
      <c r="J90" s="382">
        <f>SUM(J91:J91)</f>
        <v>3.933</v>
      </c>
    </row>
    <row r="91" spans="1:10" ht="12.75" customHeight="1" thickBot="1">
      <c r="A91" s="540"/>
      <c r="B91" s="403"/>
      <c r="C91" s="404"/>
      <c r="D91" s="405">
        <v>2212</v>
      </c>
      <c r="E91" s="445">
        <v>5169</v>
      </c>
      <c r="F91" s="446" t="s">
        <v>65</v>
      </c>
      <c r="G91" s="2">
        <v>0</v>
      </c>
      <c r="H91" s="2">
        <v>3.933</v>
      </c>
      <c r="I91" s="1"/>
      <c r="J91" s="2">
        <f>H91+I91</f>
        <v>3.933</v>
      </c>
    </row>
    <row r="92" spans="1:10" ht="12.75" customHeight="1">
      <c r="A92" s="540"/>
      <c r="B92" s="441" t="s">
        <v>5</v>
      </c>
      <c r="C92" s="391" t="s">
        <v>290</v>
      </c>
      <c r="D92" s="401" t="s">
        <v>3</v>
      </c>
      <c r="E92" s="401" t="s">
        <v>3</v>
      </c>
      <c r="F92" s="402" t="s">
        <v>291</v>
      </c>
      <c r="G92" s="382">
        <f>SUM(G93:G93)</f>
        <v>0</v>
      </c>
      <c r="H92" s="382">
        <f>SUM(H93:H93)</f>
        <v>3.933</v>
      </c>
      <c r="I92" s="126">
        <f>SUM(I93:I93)</f>
        <v>0</v>
      </c>
      <c r="J92" s="382">
        <f>SUM(J93:J93)</f>
        <v>3.933</v>
      </c>
    </row>
    <row r="93" spans="1:10" ht="12.75" customHeight="1" thickBot="1">
      <c r="A93" s="540"/>
      <c r="B93" s="403"/>
      <c r="C93" s="404"/>
      <c r="D93" s="405">
        <v>2212</v>
      </c>
      <c r="E93" s="445">
        <v>5169</v>
      </c>
      <c r="F93" s="446" t="s">
        <v>65</v>
      </c>
      <c r="G93" s="2">
        <v>0</v>
      </c>
      <c r="H93" s="2">
        <v>3.933</v>
      </c>
      <c r="I93" s="1"/>
      <c r="J93" s="2">
        <f>H93+I93</f>
        <v>3.933</v>
      </c>
    </row>
    <row r="94" spans="1:10" ht="12.75" customHeight="1">
      <c r="A94" s="540"/>
      <c r="B94" s="441" t="s">
        <v>5</v>
      </c>
      <c r="C94" s="391" t="s">
        <v>292</v>
      </c>
      <c r="D94" s="401" t="s">
        <v>3</v>
      </c>
      <c r="E94" s="401" t="s">
        <v>3</v>
      </c>
      <c r="F94" s="402" t="s">
        <v>293</v>
      </c>
      <c r="G94" s="382">
        <f>SUM(G95:G95)</f>
        <v>0</v>
      </c>
      <c r="H94" s="382">
        <f>SUM(H95:H95)</f>
        <v>14.46</v>
      </c>
      <c r="I94" s="126">
        <f>SUM(I95:I95)</f>
        <v>0</v>
      </c>
      <c r="J94" s="382">
        <f>SUM(J95:J95)</f>
        <v>14.46</v>
      </c>
    </row>
    <row r="95" spans="1:10" ht="12.75" customHeight="1" thickBot="1">
      <c r="A95" s="540"/>
      <c r="B95" s="403"/>
      <c r="C95" s="404"/>
      <c r="D95" s="405">
        <v>2212</v>
      </c>
      <c r="E95" s="445">
        <v>5169</v>
      </c>
      <c r="F95" s="446" t="s">
        <v>65</v>
      </c>
      <c r="G95" s="2">
        <v>0</v>
      </c>
      <c r="H95" s="2">
        <v>14.46</v>
      </c>
      <c r="I95" s="1"/>
      <c r="J95" s="2">
        <f>H95+I95</f>
        <v>14.46</v>
      </c>
    </row>
    <row r="96" spans="1:10" ht="12.75" customHeight="1">
      <c r="A96" s="540"/>
      <c r="B96" s="441" t="s">
        <v>5</v>
      </c>
      <c r="C96" s="391" t="s">
        <v>294</v>
      </c>
      <c r="D96" s="401" t="s">
        <v>3</v>
      </c>
      <c r="E96" s="401" t="s">
        <v>3</v>
      </c>
      <c r="F96" s="402" t="s">
        <v>295</v>
      </c>
      <c r="G96" s="382">
        <f>SUM(G97:G97)</f>
        <v>0</v>
      </c>
      <c r="H96" s="382">
        <f>SUM(H97:H97)</f>
        <v>34.183</v>
      </c>
      <c r="I96" s="126">
        <f>SUM(I97:I97)</f>
        <v>0</v>
      </c>
      <c r="J96" s="382">
        <f>SUM(J97:J97)</f>
        <v>34.183</v>
      </c>
    </row>
    <row r="97" spans="1:10" ht="12.75" customHeight="1" thickBot="1">
      <c r="A97" s="540"/>
      <c r="B97" s="403"/>
      <c r="C97" s="404"/>
      <c r="D97" s="405">
        <v>2212</v>
      </c>
      <c r="E97" s="445">
        <v>5169</v>
      </c>
      <c r="F97" s="446" t="s">
        <v>65</v>
      </c>
      <c r="G97" s="2">
        <v>0</v>
      </c>
      <c r="H97" s="2">
        <v>34.183</v>
      </c>
      <c r="I97" s="1"/>
      <c r="J97" s="2">
        <f>H97+I97</f>
        <v>34.183</v>
      </c>
    </row>
    <row r="98" spans="1:10" ht="12.75" customHeight="1">
      <c r="A98" s="540"/>
      <c r="B98" s="441" t="s">
        <v>5</v>
      </c>
      <c r="C98" s="391" t="s">
        <v>296</v>
      </c>
      <c r="D98" s="401" t="s">
        <v>3</v>
      </c>
      <c r="E98" s="401" t="s">
        <v>3</v>
      </c>
      <c r="F98" s="402" t="s">
        <v>297</v>
      </c>
      <c r="G98" s="382">
        <f>SUM(G99:G99)</f>
        <v>0</v>
      </c>
      <c r="H98" s="382">
        <f>SUM(H99:H99)</f>
        <v>38.66</v>
      </c>
      <c r="I98" s="126">
        <f>SUM(I99:I99)</f>
        <v>0</v>
      </c>
      <c r="J98" s="382">
        <f>SUM(J99:J99)</f>
        <v>38.66</v>
      </c>
    </row>
    <row r="99" spans="1:10" ht="12.75" customHeight="1" thickBot="1">
      <c r="A99" s="540"/>
      <c r="B99" s="403"/>
      <c r="C99" s="404"/>
      <c r="D99" s="405">
        <v>2212</v>
      </c>
      <c r="E99" s="445">
        <v>5169</v>
      </c>
      <c r="F99" s="446" t="s">
        <v>65</v>
      </c>
      <c r="G99" s="2">
        <v>0</v>
      </c>
      <c r="H99" s="2">
        <v>38.66</v>
      </c>
      <c r="I99" s="1"/>
      <c r="J99" s="2">
        <f>H99+I99</f>
        <v>38.66</v>
      </c>
    </row>
    <row r="100" spans="1:10" ht="12.75" customHeight="1">
      <c r="A100" s="540"/>
      <c r="B100" s="441" t="s">
        <v>5</v>
      </c>
      <c r="C100" s="391" t="s">
        <v>298</v>
      </c>
      <c r="D100" s="401" t="s">
        <v>3</v>
      </c>
      <c r="E100" s="401" t="s">
        <v>3</v>
      </c>
      <c r="F100" s="402" t="s">
        <v>299</v>
      </c>
      <c r="G100" s="382">
        <f>SUM(G101:G101)</f>
        <v>0</v>
      </c>
      <c r="H100" s="382">
        <f>SUM(H101:H101)</f>
        <v>14.46</v>
      </c>
      <c r="I100" s="126">
        <f>SUM(I101:I101)</f>
        <v>0</v>
      </c>
      <c r="J100" s="382">
        <f>SUM(J101:J101)</f>
        <v>14.46</v>
      </c>
    </row>
    <row r="101" spans="1:10" ht="12.75" customHeight="1" thickBot="1">
      <c r="A101" s="540"/>
      <c r="B101" s="403"/>
      <c r="C101" s="404"/>
      <c r="D101" s="405">
        <v>2212</v>
      </c>
      <c r="E101" s="445">
        <v>5169</v>
      </c>
      <c r="F101" s="446" t="s">
        <v>65</v>
      </c>
      <c r="G101" s="2">
        <v>0</v>
      </c>
      <c r="H101" s="2">
        <v>14.46</v>
      </c>
      <c r="I101" s="1"/>
      <c r="J101" s="2">
        <f>H101+I101</f>
        <v>14.46</v>
      </c>
    </row>
    <row r="102" spans="1:10" ht="12.75" customHeight="1">
      <c r="A102" s="540"/>
      <c r="B102" s="441" t="s">
        <v>5</v>
      </c>
      <c r="C102" s="391" t="s">
        <v>300</v>
      </c>
      <c r="D102" s="401" t="s">
        <v>3</v>
      </c>
      <c r="E102" s="401" t="s">
        <v>3</v>
      </c>
      <c r="F102" s="402" t="s">
        <v>301</v>
      </c>
      <c r="G102" s="382">
        <f>SUM(G103:G103)</f>
        <v>0</v>
      </c>
      <c r="H102" s="382">
        <f>SUM(H103:H103)</f>
        <v>14.46</v>
      </c>
      <c r="I102" s="126">
        <f>SUM(I103:I103)</f>
        <v>0</v>
      </c>
      <c r="J102" s="382">
        <f>SUM(J103:J103)</f>
        <v>14.46</v>
      </c>
    </row>
    <row r="103" spans="1:10" ht="12.75" customHeight="1" thickBot="1">
      <c r="A103" s="540"/>
      <c r="B103" s="403"/>
      <c r="C103" s="404"/>
      <c r="D103" s="405">
        <v>2212</v>
      </c>
      <c r="E103" s="445">
        <v>5169</v>
      </c>
      <c r="F103" s="446" t="s">
        <v>65</v>
      </c>
      <c r="G103" s="2">
        <v>0</v>
      </c>
      <c r="H103" s="2">
        <v>14.46</v>
      </c>
      <c r="I103" s="1"/>
      <c r="J103" s="2">
        <f>H103+I103</f>
        <v>14.46</v>
      </c>
    </row>
    <row r="104" spans="1:10" ht="12.75" customHeight="1">
      <c r="A104" s="540"/>
      <c r="B104" s="441" t="s">
        <v>5</v>
      </c>
      <c r="C104" s="391" t="s">
        <v>302</v>
      </c>
      <c r="D104" s="401" t="s">
        <v>3</v>
      </c>
      <c r="E104" s="401" t="s">
        <v>3</v>
      </c>
      <c r="F104" s="402" t="s">
        <v>303</v>
      </c>
      <c r="G104" s="382">
        <f>SUM(G105:G105)</f>
        <v>0</v>
      </c>
      <c r="H104" s="382">
        <f>SUM(H105:H105)</f>
        <v>3.933</v>
      </c>
      <c r="I104" s="126">
        <f>SUM(I105:I105)</f>
        <v>0</v>
      </c>
      <c r="J104" s="382">
        <f>SUM(J105:J105)</f>
        <v>3.933</v>
      </c>
    </row>
    <row r="105" spans="1:10" ht="12.75" customHeight="1" thickBot="1">
      <c r="A105" s="540"/>
      <c r="B105" s="403"/>
      <c r="C105" s="404"/>
      <c r="D105" s="405">
        <v>2212</v>
      </c>
      <c r="E105" s="445">
        <v>5169</v>
      </c>
      <c r="F105" s="446" t="s">
        <v>65</v>
      </c>
      <c r="G105" s="2">
        <v>0</v>
      </c>
      <c r="H105" s="2">
        <v>3.933</v>
      </c>
      <c r="I105" s="1"/>
      <c r="J105" s="2">
        <f>H105+I105</f>
        <v>3.933</v>
      </c>
    </row>
    <row r="106" spans="1:10" ht="12.75" customHeight="1">
      <c r="A106" s="540"/>
      <c r="B106" s="441" t="s">
        <v>5</v>
      </c>
      <c r="C106" s="391" t="s">
        <v>304</v>
      </c>
      <c r="D106" s="401" t="s">
        <v>3</v>
      </c>
      <c r="E106" s="401" t="s">
        <v>3</v>
      </c>
      <c r="F106" s="402" t="s">
        <v>305</v>
      </c>
      <c r="G106" s="382">
        <f>SUM(G107:G107)</f>
        <v>0</v>
      </c>
      <c r="H106" s="382">
        <f>SUM(H107:H107)</f>
        <v>3.933</v>
      </c>
      <c r="I106" s="126">
        <f>SUM(I107:I107)</f>
        <v>0</v>
      </c>
      <c r="J106" s="382">
        <f>SUM(J107:J107)</f>
        <v>3.933</v>
      </c>
    </row>
    <row r="107" spans="1:10" ht="12.75" customHeight="1" thickBot="1">
      <c r="A107" s="540"/>
      <c r="B107" s="403"/>
      <c r="C107" s="404"/>
      <c r="D107" s="405">
        <v>2212</v>
      </c>
      <c r="E107" s="445">
        <v>5169</v>
      </c>
      <c r="F107" s="446" t="s">
        <v>65</v>
      </c>
      <c r="G107" s="2">
        <v>0</v>
      </c>
      <c r="H107" s="2">
        <v>3.933</v>
      </c>
      <c r="I107" s="1"/>
      <c r="J107" s="2">
        <f>H107+I107</f>
        <v>3.933</v>
      </c>
    </row>
    <row r="108" spans="1:10" ht="12.75" customHeight="1">
      <c r="A108" s="540"/>
      <c r="B108" s="441" t="s">
        <v>5</v>
      </c>
      <c r="C108" s="391" t="s">
        <v>306</v>
      </c>
      <c r="D108" s="401" t="s">
        <v>3</v>
      </c>
      <c r="E108" s="401" t="s">
        <v>3</v>
      </c>
      <c r="F108" s="402" t="s">
        <v>307</v>
      </c>
      <c r="G108" s="382">
        <f>SUM(G109:G109)</f>
        <v>0</v>
      </c>
      <c r="H108" s="382">
        <f>SUM(H109:H109)</f>
        <v>3.933</v>
      </c>
      <c r="I108" s="126">
        <f>SUM(I109:I109)</f>
        <v>0</v>
      </c>
      <c r="J108" s="382">
        <f>SUM(J109:J109)</f>
        <v>3.933</v>
      </c>
    </row>
    <row r="109" spans="1:10" ht="12.75" customHeight="1" thickBot="1">
      <c r="A109" s="540"/>
      <c r="B109" s="403"/>
      <c r="C109" s="404"/>
      <c r="D109" s="405">
        <v>2212</v>
      </c>
      <c r="E109" s="445">
        <v>5169</v>
      </c>
      <c r="F109" s="446" t="s">
        <v>65</v>
      </c>
      <c r="G109" s="2">
        <v>0</v>
      </c>
      <c r="H109" s="2">
        <v>3.933</v>
      </c>
      <c r="I109" s="1"/>
      <c r="J109" s="2">
        <f>H109+I109</f>
        <v>3.933</v>
      </c>
    </row>
    <row r="110" spans="1:10" ht="12.75" customHeight="1">
      <c r="A110" s="540"/>
      <c r="B110" s="441" t="s">
        <v>5</v>
      </c>
      <c r="C110" s="391" t="s">
        <v>308</v>
      </c>
      <c r="D110" s="401" t="s">
        <v>3</v>
      </c>
      <c r="E110" s="401" t="s">
        <v>3</v>
      </c>
      <c r="F110" s="402" t="s">
        <v>309</v>
      </c>
      <c r="G110" s="382">
        <f>SUM(G111:G111)</f>
        <v>0</v>
      </c>
      <c r="H110" s="382">
        <f>SUM(H111:H111)</f>
        <v>10.527</v>
      </c>
      <c r="I110" s="126">
        <f>SUM(I111:I111)</f>
        <v>0</v>
      </c>
      <c r="J110" s="382">
        <f>SUM(J111:J111)</f>
        <v>10.527</v>
      </c>
    </row>
    <row r="111" spans="1:10" ht="12.75" customHeight="1" thickBot="1">
      <c r="A111" s="540"/>
      <c r="B111" s="403"/>
      <c r="C111" s="404"/>
      <c r="D111" s="405">
        <v>2212</v>
      </c>
      <c r="E111" s="445">
        <v>5169</v>
      </c>
      <c r="F111" s="446" t="s">
        <v>65</v>
      </c>
      <c r="G111" s="2">
        <v>0</v>
      </c>
      <c r="H111" s="2">
        <v>10.527</v>
      </c>
      <c r="I111" s="1"/>
      <c r="J111" s="2">
        <f>H111+I111</f>
        <v>10.527</v>
      </c>
    </row>
    <row r="112" spans="1:10" ht="12.75" customHeight="1">
      <c r="A112" s="540"/>
      <c r="B112" s="441" t="s">
        <v>5</v>
      </c>
      <c r="C112" s="391" t="s">
        <v>310</v>
      </c>
      <c r="D112" s="401" t="s">
        <v>3</v>
      </c>
      <c r="E112" s="401" t="s">
        <v>3</v>
      </c>
      <c r="F112" s="402" t="s">
        <v>311</v>
      </c>
      <c r="G112" s="382">
        <f>SUM(G113:G113)</f>
        <v>0</v>
      </c>
      <c r="H112" s="382">
        <f>SUM(H113:H113)</f>
        <v>10.527</v>
      </c>
      <c r="I112" s="126">
        <f>SUM(I113:I113)</f>
        <v>0</v>
      </c>
      <c r="J112" s="382">
        <f>SUM(J113:J113)</f>
        <v>10.527</v>
      </c>
    </row>
    <row r="113" spans="1:10" ht="12.75" customHeight="1" thickBot="1">
      <c r="A113" s="540"/>
      <c r="B113" s="403"/>
      <c r="C113" s="404"/>
      <c r="D113" s="405">
        <v>2212</v>
      </c>
      <c r="E113" s="445">
        <v>5169</v>
      </c>
      <c r="F113" s="446" t="s">
        <v>65</v>
      </c>
      <c r="G113" s="2">
        <v>0</v>
      </c>
      <c r="H113" s="2">
        <v>10.527</v>
      </c>
      <c r="I113" s="1"/>
      <c r="J113" s="2">
        <f>H113+I113</f>
        <v>10.527</v>
      </c>
    </row>
    <row r="114" spans="1:10" ht="12.75" customHeight="1">
      <c r="A114" s="540"/>
      <c r="B114" s="441" t="s">
        <v>5</v>
      </c>
      <c r="C114" s="123" t="s">
        <v>312</v>
      </c>
      <c r="D114" s="124" t="s">
        <v>3</v>
      </c>
      <c r="E114" s="124" t="s">
        <v>3</v>
      </c>
      <c r="F114" s="177" t="s">
        <v>313</v>
      </c>
      <c r="G114" s="126">
        <f>SUM(G115:G118)</f>
        <v>0</v>
      </c>
      <c r="H114" s="126">
        <f>SUM(H115:H118)</f>
        <v>3027.668</v>
      </c>
      <c r="I114" s="126">
        <f>SUM(I115:I118)</f>
        <v>0</v>
      </c>
      <c r="J114" s="126">
        <f>SUM(J115:J118)</f>
        <v>3027.668</v>
      </c>
    </row>
    <row r="115" spans="1:10" ht="12.75" customHeight="1">
      <c r="A115" s="540"/>
      <c r="B115" s="474"/>
      <c r="C115" s="475"/>
      <c r="D115" s="476">
        <v>2212</v>
      </c>
      <c r="E115" s="477">
        <v>5169</v>
      </c>
      <c r="F115" s="478" t="s">
        <v>65</v>
      </c>
      <c r="G115" s="42">
        <v>0</v>
      </c>
      <c r="H115" s="76">
        <v>3.232</v>
      </c>
      <c r="I115" s="76"/>
      <c r="J115" s="448">
        <f>H115+I115</f>
        <v>3.232</v>
      </c>
    </row>
    <row r="116" spans="1:10" ht="12.75" customHeight="1">
      <c r="A116" s="540"/>
      <c r="B116" s="474"/>
      <c r="C116" s="479" t="s">
        <v>266</v>
      </c>
      <c r="D116" s="476">
        <v>2212</v>
      </c>
      <c r="E116" s="477">
        <v>5169</v>
      </c>
      <c r="F116" s="478" t="s">
        <v>65</v>
      </c>
      <c r="G116" s="42">
        <v>0</v>
      </c>
      <c r="H116" s="76">
        <v>18.311</v>
      </c>
      <c r="I116" s="76"/>
      <c r="J116" s="480">
        <f>H116+I116</f>
        <v>18.311</v>
      </c>
    </row>
    <row r="117" spans="1:10" ht="12.75" customHeight="1">
      <c r="A117" s="540"/>
      <c r="B117" s="464"/>
      <c r="C117" s="465"/>
      <c r="D117" s="466">
        <v>2212</v>
      </c>
      <c r="E117" s="467">
        <v>5171</v>
      </c>
      <c r="F117" s="468" t="s">
        <v>275</v>
      </c>
      <c r="G117" s="76">
        <v>0</v>
      </c>
      <c r="H117" s="76">
        <v>450.919</v>
      </c>
      <c r="I117" s="76"/>
      <c r="J117" s="448">
        <f>H117+I117</f>
        <v>450.919</v>
      </c>
    </row>
    <row r="118" spans="1:10" ht="12.75" customHeight="1" thickBot="1">
      <c r="A118" s="540"/>
      <c r="B118" s="487"/>
      <c r="C118" s="488" t="s">
        <v>266</v>
      </c>
      <c r="D118" s="416">
        <v>2212</v>
      </c>
      <c r="E118" s="489">
        <v>5171</v>
      </c>
      <c r="F118" s="490" t="s">
        <v>275</v>
      </c>
      <c r="G118" s="43">
        <v>0</v>
      </c>
      <c r="H118" s="43">
        <v>2555.206</v>
      </c>
      <c r="I118" s="43"/>
      <c r="J118" s="492">
        <f>H118+I118</f>
        <v>2555.206</v>
      </c>
    </row>
    <row r="119" spans="1:10" ht="12.75" customHeight="1">
      <c r="A119" s="540"/>
      <c r="B119" s="441" t="s">
        <v>5</v>
      </c>
      <c r="C119" s="123" t="s">
        <v>314</v>
      </c>
      <c r="D119" s="124" t="s">
        <v>3</v>
      </c>
      <c r="E119" s="124" t="s">
        <v>3</v>
      </c>
      <c r="F119" s="177" t="s">
        <v>315</v>
      </c>
      <c r="G119" s="126">
        <f>SUM(G120:G123)</f>
        <v>0</v>
      </c>
      <c r="H119" s="126">
        <f>SUM(H120:H123)</f>
        <v>5399.4619999999995</v>
      </c>
      <c r="I119" s="126">
        <f>SUM(I120:I123)</f>
        <v>0</v>
      </c>
      <c r="J119" s="126">
        <f>SUM(J120:J123)</f>
        <v>5399.4619999999995</v>
      </c>
    </row>
    <row r="120" spans="1:10" ht="12.75" customHeight="1">
      <c r="A120" s="540"/>
      <c r="B120" s="474"/>
      <c r="C120" s="475"/>
      <c r="D120" s="476">
        <v>2212</v>
      </c>
      <c r="E120" s="477">
        <v>5169</v>
      </c>
      <c r="F120" s="478" t="s">
        <v>65</v>
      </c>
      <c r="G120" s="42">
        <v>0</v>
      </c>
      <c r="H120" s="76">
        <v>2.868</v>
      </c>
      <c r="I120" s="76"/>
      <c r="J120" s="448">
        <f>H120+I120</f>
        <v>2.868</v>
      </c>
    </row>
    <row r="121" spans="1:10" ht="12.75" customHeight="1">
      <c r="A121" s="540"/>
      <c r="B121" s="474"/>
      <c r="C121" s="479" t="s">
        <v>266</v>
      </c>
      <c r="D121" s="476">
        <v>2212</v>
      </c>
      <c r="E121" s="477">
        <v>5169</v>
      </c>
      <c r="F121" s="478" t="s">
        <v>65</v>
      </c>
      <c r="G121" s="42">
        <v>0</v>
      </c>
      <c r="H121" s="76">
        <v>16.248</v>
      </c>
      <c r="I121" s="76"/>
      <c r="J121" s="480">
        <f>H121+I121</f>
        <v>16.248</v>
      </c>
    </row>
    <row r="122" spans="1:10" ht="12.75" customHeight="1">
      <c r="A122" s="540"/>
      <c r="B122" s="464"/>
      <c r="C122" s="465"/>
      <c r="D122" s="466">
        <v>2212</v>
      </c>
      <c r="E122" s="467">
        <v>5171</v>
      </c>
      <c r="F122" s="468" t="s">
        <v>275</v>
      </c>
      <c r="G122" s="76">
        <v>0</v>
      </c>
      <c r="H122" s="76">
        <f>807.052-625.373</f>
        <v>181.67899999999997</v>
      </c>
      <c r="I122" s="76"/>
      <c r="J122" s="448">
        <f>H122+I122</f>
        <v>181.67899999999997</v>
      </c>
    </row>
    <row r="123" spans="1:10" ht="13.5" customHeight="1" thickBot="1">
      <c r="A123" s="540"/>
      <c r="B123" s="507"/>
      <c r="C123" s="488" t="s">
        <v>266</v>
      </c>
      <c r="D123" s="416">
        <v>2212</v>
      </c>
      <c r="E123" s="489">
        <v>5171</v>
      </c>
      <c r="F123" s="490" t="s">
        <v>275</v>
      </c>
      <c r="G123" s="43">
        <v>0</v>
      </c>
      <c r="H123" s="43">
        <f>4573.294+625.373</f>
        <v>5198.6669999999995</v>
      </c>
      <c r="I123" s="43"/>
      <c r="J123" s="492">
        <f>H123+I123</f>
        <v>5198.6669999999995</v>
      </c>
    </row>
    <row r="124" spans="1:10" ht="12.75" customHeight="1" thickBot="1">
      <c r="A124" s="540"/>
      <c r="B124" s="435" t="s">
        <v>5</v>
      </c>
      <c r="C124" s="436" t="s">
        <v>3</v>
      </c>
      <c r="D124" s="437" t="s">
        <v>3</v>
      </c>
      <c r="E124" s="437" t="s">
        <v>3</v>
      </c>
      <c r="F124" s="493" t="s">
        <v>316</v>
      </c>
      <c r="G124" s="439">
        <f>G125+G129+G131+G133+G137+G139+G141+G143+G145+G147+G150+G152+G154+G156+G158+G161+G163+G165+G167+G170+G172+G174+G176+G178+G180+G183+G185+G187+G191+G194+G197+G200+G203+G207+G210+G213+G216+G219+G222+G226+G229+G232+G235+G238+G241+G245+G248+G251+G254+G257+G260+G262+G264+G267+G270+G273</f>
        <v>0</v>
      </c>
      <c r="H124" s="439">
        <f>H125+H129+H131+H133+H137+H139+H141+H143+H145+H147+H150+H152+H154+H156+H158+H161+H163+H165+H167+H170+H172+H174+H176+H178+H180+H183+H185+H187+H191+H194+H197+H200+H203+H207+H210+H213+H216+H219+H222+H226+H229+H232+H235+H238+H241+H245+H248+H251+H254+H257+H260+H262+H264+H267+H270+H273</f>
        <v>240929.201</v>
      </c>
      <c r="I124" s="439">
        <f>I125+I129+I131+I133+I137+I139+I141+I143+I145+I147+I150+I152+I154+I156+I158+I161+I163+I165+I167+I170+I172+I174+I176+I178+I180+I183+I185+I187+I191+I194+I197+I200+I203+I207+I210+I213+I216+I219+I222+I226+I229+I232+I235+I238+I241+I245+I248+I251+I254+I257+I260+I262+I264+I267+I270+I273</f>
        <v>-951.9040000000001</v>
      </c>
      <c r="J124" s="439">
        <f>J125+J129+J131+J133+J137+J139+J141+J143+J145+J147+J150+J152+J154+J156+J158+J161+J163+J165+J167+J170+J172+J174+J176+J178+J180+J183+J185+J187+J191+J194+J197+J200+J203+J207+J210+J213+J216+J219+J222+J226+J229+J232+J235+J238+J241+J245+J248+J251+J254+J257+J260+J262+J264+J267+J270+J273</f>
        <v>239977.29700000002</v>
      </c>
    </row>
    <row r="125" spans="1:10" s="440" customFormat="1" ht="12.75" customHeight="1">
      <c r="A125" s="540"/>
      <c r="B125" s="441" t="s">
        <v>5</v>
      </c>
      <c r="C125" s="442" t="s">
        <v>317</v>
      </c>
      <c r="D125" s="401" t="s">
        <v>3</v>
      </c>
      <c r="E125" s="401" t="s">
        <v>3</v>
      </c>
      <c r="F125" s="402" t="s">
        <v>318</v>
      </c>
      <c r="G125" s="382">
        <f>SUM(G126:G128)</f>
        <v>0</v>
      </c>
      <c r="H125" s="382">
        <f>SUM(H126:H128)</f>
        <v>41567.055</v>
      </c>
      <c r="I125" s="382">
        <f>SUM(I126:I128)</f>
        <v>0</v>
      </c>
      <c r="J125" s="382">
        <f>SUM(J126:J128)</f>
        <v>41567.055</v>
      </c>
    </row>
    <row r="126" spans="1:10" s="440" customFormat="1" ht="12.75" customHeight="1">
      <c r="A126" s="540"/>
      <c r="B126" s="443"/>
      <c r="C126" s="269"/>
      <c r="D126" s="405">
        <v>2212</v>
      </c>
      <c r="E126" s="445">
        <v>5901</v>
      </c>
      <c r="F126" s="494" t="s">
        <v>265</v>
      </c>
      <c r="G126" s="447">
        <v>0</v>
      </c>
      <c r="H126" s="2">
        <f>4000+(23000-8344.243)-2418.372+17000-18454.229-5735.307</f>
        <v>9047.848999999995</v>
      </c>
      <c r="I126" s="2"/>
      <c r="J126" s="2">
        <f>H126+I126</f>
        <v>9047.848999999995</v>
      </c>
    </row>
    <row r="127" spans="1:10" s="440" customFormat="1" ht="12.75" customHeight="1">
      <c r="A127" s="540"/>
      <c r="B127" s="495"/>
      <c r="C127" s="496" t="s">
        <v>266</v>
      </c>
      <c r="D127" s="405">
        <v>2212</v>
      </c>
      <c r="E127" s="445">
        <v>5901</v>
      </c>
      <c r="F127" s="494" t="s">
        <v>265</v>
      </c>
      <c r="G127" s="447">
        <v>0</v>
      </c>
      <c r="H127" s="2">
        <f>38000-24203.417-66.586-17556.49+5735.307</f>
        <v>1908.8139999999976</v>
      </c>
      <c r="I127" s="2"/>
      <c r="J127" s="2">
        <f>H127+I127</f>
        <v>1908.8139999999976</v>
      </c>
    </row>
    <row r="128" spans="1:10" s="440" customFormat="1" ht="12.75" customHeight="1" thickBot="1">
      <c r="A128" s="540"/>
      <c r="B128" s="449"/>
      <c r="C128" s="497" t="s">
        <v>319</v>
      </c>
      <c r="D128" s="396">
        <v>2212</v>
      </c>
      <c r="E128" s="397">
        <v>6901</v>
      </c>
      <c r="F128" s="470" t="s">
        <v>434</v>
      </c>
      <c r="G128" s="498">
        <v>0</v>
      </c>
      <c r="H128" s="318">
        <f>149440-16978.628-19450.886-82400.094</f>
        <v>30610.392000000007</v>
      </c>
      <c r="I128" s="318"/>
      <c r="J128" s="318">
        <f>H128+I128</f>
        <v>30610.392000000007</v>
      </c>
    </row>
    <row r="129" spans="1:10" ht="12.75" customHeight="1">
      <c r="A129" s="540"/>
      <c r="B129" s="441" t="s">
        <v>5</v>
      </c>
      <c r="C129" s="123" t="s">
        <v>320</v>
      </c>
      <c r="D129" s="124" t="s">
        <v>3</v>
      </c>
      <c r="E129" s="124" t="s">
        <v>3</v>
      </c>
      <c r="F129" s="177" t="s">
        <v>321</v>
      </c>
      <c r="G129" s="126">
        <f>SUM(G130:G130)</f>
        <v>0</v>
      </c>
      <c r="H129" s="126">
        <f>SUM(H130:H130)</f>
        <v>264.385</v>
      </c>
      <c r="I129" s="126">
        <f>SUM(I130:I130)</f>
        <v>0</v>
      </c>
      <c r="J129" s="126">
        <f>SUM(J130:J130)</f>
        <v>264.385</v>
      </c>
    </row>
    <row r="130" spans="1:10" ht="12.75" customHeight="1" thickBot="1">
      <c r="A130" s="540"/>
      <c r="B130" s="481"/>
      <c r="C130" s="463"/>
      <c r="D130" s="416">
        <v>2212</v>
      </c>
      <c r="E130" s="416">
        <v>5169</v>
      </c>
      <c r="F130" s="490" t="s">
        <v>65</v>
      </c>
      <c r="G130" s="119">
        <v>0</v>
      </c>
      <c r="H130" s="119">
        <v>264.385</v>
      </c>
      <c r="I130" s="1"/>
      <c r="J130" s="1">
        <f>H130+I130</f>
        <v>264.385</v>
      </c>
    </row>
    <row r="131" spans="1:10" ht="12.75" customHeight="1">
      <c r="A131" s="540"/>
      <c r="B131" s="441" t="s">
        <v>5</v>
      </c>
      <c r="C131" s="123" t="s">
        <v>322</v>
      </c>
      <c r="D131" s="124" t="s">
        <v>3</v>
      </c>
      <c r="E131" s="124" t="s">
        <v>3</v>
      </c>
      <c r="F131" s="177" t="s">
        <v>323</v>
      </c>
      <c r="G131" s="126">
        <f>SUM(G132:G132)</f>
        <v>0</v>
      </c>
      <c r="H131" s="126">
        <f>SUM(H132:H132)</f>
        <v>554.785</v>
      </c>
      <c r="I131" s="126">
        <f>SUM(I132:I132)</f>
        <v>0</v>
      </c>
      <c r="J131" s="126">
        <f>SUM(J132:J132)</f>
        <v>554.785</v>
      </c>
    </row>
    <row r="132" spans="1:10" ht="12.75" customHeight="1" thickBot="1">
      <c r="A132" s="540"/>
      <c r="B132" s="481"/>
      <c r="C132" s="463"/>
      <c r="D132" s="416">
        <v>2212</v>
      </c>
      <c r="E132" s="416">
        <v>5169</v>
      </c>
      <c r="F132" s="490" t="s">
        <v>65</v>
      </c>
      <c r="G132" s="119">
        <v>0</v>
      </c>
      <c r="H132" s="119">
        <v>554.785</v>
      </c>
      <c r="I132" s="1"/>
      <c r="J132" s="1">
        <f>H132+I132</f>
        <v>554.785</v>
      </c>
    </row>
    <row r="133" spans="1:10" ht="12.75" customHeight="1">
      <c r="A133" s="540"/>
      <c r="B133" s="441" t="s">
        <v>5</v>
      </c>
      <c r="C133" s="123" t="s">
        <v>324</v>
      </c>
      <c r="D133" s="124" t="s">
        <v>3</v>
      </c>
      <c r="E133" s="124" t="s">
        <v>3</v>
      </c>
      <c r="F133" s="177" t="s">
        <v>325</v>
      </c>
      <c r="G133" s="382">
        <f>SUM(G134:G136)</f>
        <v>0</v>
      </c>
      <c r="H133" s="382">
        <f>SUM(H134:H136)</f>
        <v>3213.518</v>
      </c>
      <c r="I133" s="382">
        <f>SUM(I134:I136)</f>
        <v>0</v>
      </c>
      <c r="J133" s="382">
        <f>SUM(J134:J136)</f>
        <v>3213.518</v>
      </c>
    </row>
    <row r="134" spans="1:10" ht="12.75" customHeight="1">
      <c r="A134" s="540"/>
      <c r="B134" s="474"/>
      <c r="C134" s="404"/>
      <c r="D134" s="476">
        <v>2212</v>
      </c>
      <c r="E134" s="476">
        <v>5169</v>
      </c>
      <c r="F134" s="486" t="s">
        <v>65</v>
      </c>
      <c r="G134" s="42">
        <v>0</v>
      </c>
      <c r="H134" s="42">
        <v>99.22</v>
      </c>
      <c r="I134" s="2"/>
      <c r="J134" s="2">
        <f>H134+I134</f>
        <v>99.22</v>
      </c>
    </row>
    <row r="135" spans="1:10" ht="12.75" customHeight="1">
      <c r="A135" s="540"/>
      <c r="B135" s="499"/>
      <c r="C135" s="409"/>
      <c r="D135" s="500">
        <v>2212</v>
      </c>
      <c r="E135" s="501">
        <v>5171</v>
      </c>
      <c r="F135" s="502" t="s">
        <v>275</v>
      </c>
      <c r="G135" s="272">
        <v>0</v>
      </c>
      <c r="H135" s="272">
        <v>467.145</v>
      </c>
      <c r="I135" s="272"/>
      <c r="J135" s="272">
        <f>H135+I135</f>
        <v>467.145</v>
      </c>
    </row>
    <row r="136" spans="1:10" ht="12.75" customHeight="1" thickBot="1">
      <c r="A136" s="540"/>
      <c r="B136" s="469"/>
      <c r="C136" s="450" t="s">
        <v>266</v>
      </c>
      <c r="D136" s="396">
        <v>2212</v>
      </c>
      <c r="E136" s="397">
        <v>5171</v>
      </c>
      <c r="F136" s="470" t="s">
        <v>275</v>
      </c>
      <c r="G136" s="318">
        <v>0</v>
      </c>
      <c r="H136" s="1">
        <v>2647.153</v>
      </c>
      <c r="I136" s="1"/>
      <c r="J136" s="318">
        <f>H136+I136</f>
        <v>2647.153</v>
      </c>
    </row>
    <row r="137" spans="1:10" ht="12.75" customHeight="1">
      <c r="A137" s="540"/>
      <c r="B137" s="441" t="s">
        <v>5</v>
      </c>
      <c r="C137" s="123" t="s">
        <v>326</v>
      </c>
      <c r="D137" s="124" t="s">
        <v>3</v>
      </c>
      <c r="E137" s="124" t="s">
        <v>3</v>
      </c>
      <c r="F137" s="177" t="s">
        <v>327</v>
      </c>
      <c r="G137" s="126">
        <f>SUM(G138:G138)</f>
        <v>0</v>
      </c>
      <c r="H137" s="126">
        <f>SUM(H138:H138)</f>
        <v>505.78</v>
      </c>
      <c r="I137" s="126">
        <f>SUM(I138:I138)</f>
        <v>0</v>
      </c>
      <c r="J137" s="126">
        <f>SUM(J138:J138)</f>
        <v>505.78</v>
      </c>
    </row>
    <row r="138" spans="1:10" ht="12.75" customHeight="1" thickBot="1">
      <c r="A138" s="540"/>
      <c r="B138" s="481"/>
      <c r="C138" s="463"/>
      <c r="D138" s="416">
        <v>2212</v>
      </c>
      <c r="E138" s="416">
        <v>5169</v>
      </c>
      <c r="F138" s="490" t="s">
        <v>65</v>
      </c>
      <c r="G138" s="119">
        <v>0</v>
      </c>
      <c r="H138" s="119">
        <v>505.78</v>
      </c>
      <c r="I138" s="1"/>
      <c r="J138" s="1">
        <f>H138+I138</f>
        <v>505.78</v>
      </c>
    </row>
    <row r="139" spans="1:10" ht="12.75" customHeight="1">
      <c r="A139" s="540"/>
      <c r="B139" s="441" t="s">
        <v>5</v>
      </c>
      <c r="C139" s="123" t="s">
        <v>328</v>
      </c>
      <c r="D139" s="124" t="s">
        <v>3</v>
      </c>
      <c r="E139" s="124" t="s">
        <v>3</v>
      </c>
      <c r="F139" s="177" t="s">
        <v>329</v>
      </c>
      <c r="G139" s="126">
        <f>SUM(G140:G140)</f>
        <v>0</v>
      </c>
      <c r="H139" s="126">
        <f>SUM(H140:H140)</f>
        <v>638.88</v>
      </c>
      <c r="I139" s="126">
        <f>SUM(I140:I140)</f>
        <v>0</v>
      </c>
      <c r="J139" s="126">
        <f>SUM(J140:J140)</f>
        <v>638.88</v>
      </c>
    </row>
    <row r="140" spans="1:10" ht="12.75" customHeight="1" thickBot="1">
      <c r="A140" s="540"/>
      <c r="B140" s="481"/>
      <c r="C140" s="463"/>
      <c r="D140" s="416">
        <v>2212</v>
      </c>
      <c r="E140" s="416">
        <v>5169</v>
      </c>
      <c r="F140" s="490" t="s">
        <v>65</v>
      </c>
      <c r="G140" s="119">
        <v>0</v>
      </c>
      <c r="H140" s="119">
        <v>638.88</v>
      </c>
      <c r="I140" s="1"/>
      <c r="J140" s="1">
        <f>H140+I140</f>
        <v>638.88</v>
      </c>
    </row>
    <row r="141" spans="1:10" ht="12.75" customHeight="1">
      <c r="A141" s="540"/>
      <c r="B141" s="441" t="s">
        <v>5</v>
      </c>
      <c r="C141" s="123" t="s">
        <v>330</v>
      </c>
      <c r="D141" s="124" t="s">
        <v>3</v>
      </c>
      <c r="E141" s="124" t="s">
        <v>3</v>
      </c>
      <c r="F141" s="177" t="s">
        <v>331</v>
      </c>
      <c r="G141" s="126">
        <f>SUM(G142:G142)</f>
        <v>0</v>
      </c>
      <c r="H141" s="126">
        <f>SUM(H142:H142)</f>
        <v>1097.47</v>
      </c>
      <c r="I141" s="126">
        <f>SUM(I142:I142)</f>
        <v>0</v>
      </c>
      <c r="J141" s="126">
        <f>SUM(J142:J142)</f>
        <v>1097.47</v>
      </c>
    </row>
    <row r="142" spans="1:10" ht="12.75" customHeight="1" thickBot="1">
      <c r="A142" s="540"/>
      <c r="B142" s="481"/>
      <c r="C142" s="463"/>
      <c r="D142" s="416">
        <v>2212</v>
      </c>
      <c r="E142" s="416">
        <v>5169</v>
      </c>
      <c r="F142" s="490" t="s">
        <v>65</v>
      </c>
      <c r="G142" s="119">
        <v>0</v>
      </c>
      <c r="H142" s="119">
        <v>1097.47</v>
      </c>
      <c r="I142" s="1"/>
      <c r="J142" s="1">
        <f>H142+I142</f>
        <v>1097.47</v>
      </c>
    </row>
    <row r="143" spans="1:10" ht="12.75" customHeight="1">
      <c r="A143" s="540"/>
      <c r="B143" s="441" t="s">
        <v>5</v>
      </c>
      <c r="C143" s="123" t="s">
        <v>332</v>
      </c>
      <c r="D143" s="124" t="s">
        <v>3</v>
      </c>
      <c r="E143" s="124" t="s">
        <v>3</v>
      </c>
      <c r="F143" s="177" t="s">
        <v>333</v>
      </c>
      <c r="G143" s="126">
        <f>SUM(G144:G144)</f>
        <v>0</v>
      </c>
      <c r="H143" s="126">
        <f>SUM(H144:H144)</f>
        <v>318.23</v>
      </c>
      <c r="I143" s="126">
        <f>SUM(I144:I144)</f>
        <v>0</v>
      </c>
      <c r="J143" s="126">
        <f>SUM(J144:J144)</f>
        <v>318.23</v>
      </c>
    </row>
    <row r="144" spans="1:10" ht="12.75" customHeight="1" thickBot="1">
      <c r="A144" s="540"/>
      <c r="B144" s="487"/>
      <c r="C144" s="463"/>
      <c r="D144" s="416">
        <v>2212</v>
      </c>
      <c r="E144" s="416">
        <v>5169</v>
      </c>
      <c r="F144" s="490" t="s">
        <v>65</v>
      </c>
      <c r="G144" s="43">
        <v>0</v>
      </c>
      <c r="H144" s="43">
        <v>318.23</v>
      </c>
      <c r="I144" s="1"/>
      <c r="J144" s="1">
        <f>H144+I144</f>
        <v>318.23</v>
      </c>
    </row>
    <row r="145" spans="1:10" ht="12.75" customHeight="1">
      <c r="A145" s="540"/>
      <c r="B145" s="441" t="s">
        <v>5</v>
      </c>
      <c r="C145" s="123" t="s">
        <v>334</v>
      </c>
      <c r="D145" s="124" t="s">
        <v>3</v>
      </c>
      <c r="E145" s="124" t="s">
        <v>3</v>
      </c>
      <c r="F145" s="177" t="s">
        <v>335</v>
      </c>
      <c r="G145" s="126">
        <f>SUM(G146:G146)</f>
        <v>0</v>
      </c>
      <c r="H145" s="126">
        <f>SUM(H146:H146)</f>
        <v>0</v>
      </c>
      <c r="I145" s="126">
        <f>SUM(I146:I146)</f>
        <v>0</v>
      </c>
      <c r="J145" s="126">
        <f>SUM(J146:J146)</f>
        <v>0</v>
      </c>
    </row>
    <row r="146" spans="1:10" ht="12.75" customHeight="1" thickBot="1">
      <c r="A146" s="540"/>
      <c r="B146" s="481"/>
      <c r="C146" s="463"/>
      <c r="D146" s="416">
        <v>2212</v>
      </c>
      <c r="E146" s="416">
        <v>5169</v>
      </c>
      <c r="F146" s="490" t="s">
        <v>65</v>
      </c>
      <c r="G146" s="119">
        <v>0</v>
      </c>
      <c r="H146" s="119">
        <f>983.73-983.73</f>
        <v>0</v>
      </c>
      <c r="I146" s="1"/>
      <c r="J146" s="1">
        <f>H146+I146</f>
        <v>0</v>
      </c>
    </row>
    <row r="147" spans="1:10" ht="12.75" customHeight="1">
      <c r="A147" s="540"/>
      <c r="B147" s="441" t="s">
        <v>5</v>
      </c>
      <c r="C147" s="123" t="s">
        <v>336</v>
      </c>
      <c r="D147" s="124" t="s">
        <v>3</v>
      </c>
      <c r="E147" s="124" t="s">
        <v>3</v>
      </c>
      <c r="F147" s="177" t="s">
        <v>337</v>
      </c>
      <c r="G147" s="382">
        <f>SUM(G148:G149)</f>
        <v>0</v>
      </c>
      <c r="H147" s="382">
        <f>SUM(H148:H149)</f>
        <v>27916.489</v>
      </c>
      <c r="I147" s="382">
        <f>SUM(I148:I149)</f>
        <v>0</v>
      </c>
      <c r="J147" s="382">
        <f>SUM(J148:J149)</f>
        <v>27916.489</v>
      </c>
    </row>
    <row r="148" spans="1:10" ht="12.75" customHeight="1">
      <c r="A148" s="540"/>
      <c r="B148" s="474"/>
      <c r="C148" s="404"/>
      <c r="D148" s="476">
        <v>2212</v>
      </c>
      <c r="E148" s="405">
        <v>6121</v>
      </c>
      <c r="F148" s="337" t="s">
        <v>197</v>
      </c>
      <c r="G148" s="42">
        <v>0</v>
      </c>
      <c r="H148" s="42">
        <f>533.005-307.461+157.3+39.208+4124.166</f>
        <v>4546.218</v>
      </c>
      <c r="I148" s="2"/>
      <c r="J148" s="2">
        <f>H148+I148</f>
        <v>4546.218</v>
      </c>
    </row>
    <row r="149" spans="1:10" ht="12.75" customHeight="1" thickBot="1">
      <c r="A149" s="540"/>
      <c r="B149" s="469"/>
      <c r="C149" s="497" t="s">
        <v>319</v>
      </c>
      <c r="D149" s="415">
        <v>2212</v>
      </c>
      <c r="E149" s="396">
        <v>6121</v>
      </c>
      <c r="F149" s="254" t="s">
        <v>197</v>
      </c>
      <c r="G149" s="318">
        <v>0</v>
      </c>
      <c r="H149" s="318">
        <v>23370.271</v>
      </c>
      <c r="I149" s="318"/>
      <c r="J149" s="318">
        <f>H149+I149</f>
        <v>23370.271</v>
      </c>
    </row>
    <row r="150" spans="1:10" ht="12.75" customHeight="1">
      <c r="A150" s="540"/>
      <c r="B150" s="441" t="s">
        <v>5</v>
      </c>
      <c r="C150" s="123" t="s">
        <v>338</v>
      </c>
      <c r="D150" s="124" t="s">
        <v>3</v>
      </c>
      <c r="E150" s="124" t="s">
        <v>3</v>
      </c>
      <c r="F150" s="177" t="s">
        <v>339</v>
      </c>
      <c r="G150" s="126">
        <f>SUM(G151:G151)</f>
        <v>0</v>
      </c>
      <c r="H150" s="126">
        <f>SUM(H151:H151)</f>
        <v>243.33099999999996</v>
      </c>
      <c r="I150" s="126">
        <f>SUM(I151:I151)</f>
        <v>0</v>
      </c>
      <c r="J150" s="126">
        <f>SUM(J151:J151)</f>
        <v>243.33099999999996</v>
      </c>
    </row>
    <row r="151" spans="1:10" ht="12.75" customHeight="1" thickBot="1">
      <c r="A151" s="540"/>
      <c r="B151" s="487"/>
      <c r="C151" s="463"/>
      <c r="D151" s="416">
        <v>2212</v>
      </c>
      <c r="E151" s="416">
        <v>5169</v>
      </c>
      <c r="F151" s="490" t="s">
        <v>65</v>
      </c>
      <c r="G151" s="43">
        <v>0</v>
      </c>
      <c r="H151" s="43">
        <f>592.295-348.964</f>
        <v>243.33099999999996</v>
      </c>
      <c r="I151" s="1"/>
      <c r="J151" s="1">
        <f>H151+I151</f>
        <v>243.33099999999996</v>
      </c>
    </row>
    <row r="152" spans="1:10" ht="12.75" customHeight="1">
      <c r="A152" s="540"/>
      <c r="B152" s="441" t="s">
        <v>5</v>
      </c>
      <c r="C152" s="123" t="s">
        <v>340</v>
      </c>
      <c r="D152" s="124" t="s">
        <v>3</v>
      </c>
      <c r="E152" s="124" t="s">
        <v>3</v>
      </c>
      <c r="F152" s="177" t="s">
        <v>341</v>
      </c>
      <c r="G152" s="126">
        <f>SUM(G153:G153)</f>
        <v>0</v>
      </c>
      <c r="H152" s="126">
        <f>SUM(H153:H153)</f>
        <v>154.27499999999998</v>
      </c>
      <c r="I152" s="126">
        <f>SUM(I153:I153)</f>
        <v>0</v>
      </c>
      <c r="J152" s="126">
        <f>SUM(J153:J153)</f>
        <v>154.27499999999998</v>
      </c>
    </row>
    <row r="153" spans="1:10" ht="12.75" customHeight="1" thickBot="1">
      <c r="A153" s="540"/>
      <c r="B153" s="481"/>
      <c r="C153" s="463"/>
      <c r="D153" s="416">
        <v>2212</v>
      </c>
      <c r="E153" s="416">
        <v>5169</v>
      </c>
      <c r="F153" s="490" t="s">
        <v>65</v>
      </c>
      <c r="G153" s="119">
        <v>0</v>
      </c>
      <c r="H153" s="119">
        <f>222.035-67.76</f>
        <v>154.27499999999998</v>
      </c>
      <c r="I153" s="1"/>
      <c r="J153" s="1">
        <f>H153+I153</f>
        <v>154.27499999999998</v>
      </c>
    </row>
    <row r="154" spans="1:10" ht="12.75" customHeight="1">
      <c r="A154" s="540"/>
      <c r="B154" s="441" t="s">
        <v>5</v>
      </c>
      <c r="C154" s="123" t="s">
        <v>342</v>
      </c>
      <c r="D154" s="124" t="s">
        <v>3</v>
      </c>
      <c r="E154" s="124" t="s">
        <v>3</v>
      </c>
      <c r="F154" s="177" t="s">
        <v>343</v>
      </c>
      <c r="G154" s="126">
        <f>SUM(G155:G155)</f>
        <v>0</v>
      </c>
      <c r="H154" s="126">
        <f>SUM(H155:H155)</f>
        <v>108.9</v>
      </c>
      <c r="I154" s="126">
        <f>SUM(I155:I155)</f>
        <v>0</v>
      </c>
      <c r="J154" s="126">
        <f>SUM(J155:J155)</f>
        <v>108.9</v>
      </c>
    </row>
    <row r="155" spans="1:10" ht="12.75" customHeight="1" thickBot="1">
      <c r="A155" s="540"/>
      <c r="B155" s="481"/>
      <c r="C155" s="463"/>
      <c r="D155" s="416">
        <v>2212</v>
      </c>
      <c r="E155" s="416">
        <v>5169</v>
      </c>
      <c r="F155" s="490" t="s">
        <v>65</v>
      </c>
      <c r="G155" s="119">
        <v>0</v>
      </c>
      <c r="H155" s="119">
        <f>155.485-46.585</f>
        <v>108.9</v>
      </c>
      <c r="I155" s="1"/>
      <c r="J155" s="1">
        <f>H155+I155</f>
        <v>108.9</v>
      </c>
    </row>
    <row r="156" spans="1:10" ht="12.75" customHeight="1">
      <c r="A156" s="540"/>
      <c r="B156" s="441" t="s">
        <v>5</v>
      </c>
      <c r="C156" s="123" t="s">
        <v>344</v>
      </c>
      <c r="D156" s="124" t="s">
        <v>3</v>
      </c>
      <c r="E156" s="124" t="s">
        <v>3</v>
      </c>
      <c r="F156" s="177" t="s">
        <v>345</v>
      </c>
      <c r="G156" s="126">
        <f>SUM(G157:G157)</f>
        <v>0</v>
      </c>
      <c r="H156" s="126">
        <f>SUM(H157:H157)</f>
        <v>425.43500000000006</v>
      </c>
      <c r="I156" s="473">
        <f>SUM(I157:I157)</f>
        <v>-425.43500000000006</v>
      </c>
      <c r="J156" s="126">
        <f>SUM(J157:J157)</f>
        <v>0</v>
      </c>
    </row>
    <row r="157" spans="1:10" ht="12.75" customHeight="1" thickBot="1">
      <c r="A157" s="540"/>
      <c r="B157" s="487"/>
      <c r="C157" s="463"/>
      <c r="D157" s="416">
        <v>2212</v>
      </c>
      <c r="E157" s="421">
        <v>6121</v>
      </c>
      <c r="F157" s="503" t="s">
        <v>197</v>
      </c>
      <c r="G157" s="43">
        <v>0</v>
      </c>
      <c r="H157" s="43">
        <f>373.285-101.64+119.79+34</f>
        <v>425.43500000000006</v>
      </c>
      <c r="I157" s="491">
        <f>-(373.285-101.64+119.79+34)</f>
        <v>-425.43500000000006</v>
      </c>
      <c r="J157" s="1">
        <f>H157+I157</f>
        <v>0</v>
      </c>
    </row>
    <row r="158" spans="1:10" ht="12.75" customHeight="1">
      <c r="A158" s="540"/>
      <c r="B158" s="441" t="s">
        <v>5</v>
      </c>
      <c r="C158" s="123" t="s">
        <v>346</v>
      </c>
      <c r="D158" s="124" t="s">
        <v>3</v>
      </c>
      <c r="E158" s="124" t="s">
        <v>3</v>
      </c>
      <c r="F158" s="177" t="s">
        <v>347</v>
      </c>
      <c r="G158" s="382">
        <f>SUM(G159:G160)</f>
        <v>0</v>
      </c>
      <c r="H158" s="382">
        <f>SUM(H159:H160)</f>
        <v>31027.165</v>
      </c>
      <c r="I158" s="382">
        <f>SUM(I159:I160)</f>
        <v>0</v>
      </c>
      <c r="J158" s="382">
        <f>SUM(J159:J160)</f>
        <v>31027.165</v>
      </c>
    </row>
    <row r="159" spans="1:10" ht="12.75" customHeight="1">
      <c r="A159" s="540"/>
      <c r="B159" s="474"/>
      <c r="C159" s="404"/>
      <c r="D159" s="476">
        <v>2212</v>
      </c>
      <c r="E159" s="405">
        <v>6121</v>
      </c>
      <c r="F159" s="337" t="s">
        <v>197</v>
      </c>
      <c r="G159" s="42">
        <v>0</v>
      </c>
      <c r="H159" s="42">
        <f>493.68+36.179+66.55+4564.614</f>
        <v>5161.022999999999</v>
      </c>
      <c r="I159" s="2"/>
      <c r="J159" s="2">
        <f>H159+I159</f>
        <v>5161.022999999999</v>
      </c>
    </row>
    <row r="160" spans="1:10" ht="12.75" customHeight="1" thickBot="1">
      <c r="A160" s="540"/>
      <c r="B160" s="469"/>
      <c r="C160" s="497" t="s">
        <v>319</v>
      </c>
      <c r="D160" s="415">
        <v>2212</v>
      </c>
      <c r="E160" s="396">
        <v>6121</v>
      </c>
      <c r="F160" s="254" t="s">
        <v>197</v>
      </c>
      <c r="G160" s="318">
        <v>0</v>
      </c>
      <c r="H160" s="318">
        <v>25866.142</v>
      </c>
      <c r="I160" s="318"/>
      <c r="J160" s="318">
        <f>H160+I160</f>
        <v>25866.142</v>
      </c>
    </row>
    <row r="161" spans="1:10" ht="12.75" customHeight="1">
      <c r="A161" s="540"/>
      <c r="B161" s="441" t="s">
        <v>5</v>
      </c>
      <c r="C161" s="123" t="s">
        <v>348</v>
      </c>
      <c r="D161" s="124" t="s">
        <v>3</v>
      </c>
      <c r="E161" s="124" t="s">
        <v>3</v>
      </c>
      <c r="F161" s="177" t="s">
        <v>349</v>
      </c>
      <c r="G161" s="126">
        <f>SUM(G162:G162)</f>
        <v>0</v>
      </c>
      <c r="H161" s="126">
        <f>SUM(H162:H162)</f>
        <v>839.135</v>
      </c>
      <c r="I161" s="126">
        <f>SUM(I162:I162)</f>
        <v>0</v>
      </c>
      <c r="J161" s="126">
        <f>SUM(J162:J162)</f>
        <v>839.135</v>
      </c>
    </row>
    <row r="162" spans="1:10" ht="12.75" customHeight="1" thickBot="1">
      <c r="A162" s="540"/>
      <c r="B162" s="481"/>
      <c r="C162" s="463"/>
      <c r="D162" s="416">
        <v>2212</v>
      </c>
      <c r="E162" s="416">
        <v>5169</v>
      </c>
      <c r="F162" s="490" t="s">
        <v>65</v>
      </c>
      <c r="G162" s="119">
        <v>0</v>
      </c>
      <c r="H162" s="119">
        <v>839.135</v>
      </c>
      <c r="I162" s="1"/>
      <c r="J162" s="1">
        <f>H162+I162</f>
        <v>839.135</v>
      </c>
    </row>
    <row r="163" spans="1:10" ht="12.75" customHeight="1">
      <c r="A163" s="540"/>
      <c r="B163" s="441" t="s">
        <v>5</v>
      </c>
      <c r="C163" s="123" t="s">
        <v>350</v>
      </c>
      <c r="D163" s="124" t="s">
        <v>3</v>
      </c>
      <c r="E163" s="124" t="s">
        <v>3</v>
      </c>
      <c r="F163" s="177" t="s">
        <v>351</v>
      </c>
      <c r="G163" s="126">
        <f>SUM(G164:G164)</f>
        <v>0</v>
      </c>
      <c r="H163" s="126">
        <f>SUM(H164:H164)</f>
        <v>579.923</v>
      </c>
      <c r="I163" s="126">
        <f>SUM(I164:I164)</f>
        <v>0</v>
      </c>
      <c r="J163" s="126">
        <f>SUM(J164:J164)</f>
        <v>579.923</v>
      </c>
    </row>
    <row r="164" spans="1:10" ht="12.75" customHeight="1" thickBot="1">
      <c r="A164" s="540"/>
      <c r="B164" s="481"/>
      <c r="C164" s="463"/>
      <c r="D164" s="416">
        <v>2212</v>
      </c>
      <c r="E164" s="416">
        <v>5169</v>
      </c>
      <c r="F164" s="490" t="s">
        <v>65</v>
      </c>
      <c r="G164" s="119">
        <v>0</v>
      </c>
      <c r="H164" s="119">
        <f>762.905-499.73+316.748</f>
        <v>579.923</v>
      </c>
      <c r="I164" s="1"/>
      <c r="J164" s="1">
        <f>H164+I164</f>
        <v>579.923</v>
      </c>
    </row>
    <row r="165" spans="1:10" ht="12.75" customHeight="1">
      <c r="A165" s="540"/>
      <c r="B165" s="441" t="s">
        <v>5</v>
      </c>
      <c r="C165" s="123" t="s">
        <v>352</v>
      </c>
      <c r="D165" s="124" t="s">
        <v>3</v>
      </c>
      <c r="E165" s="124" t="s">
        <v>3</v>
      </c>
      <c r="F165" s="177" t="s">
        <v>353</v>
      </c>
      <c r="G165" s="126">
        <f>SUM(G166:G166)</f>
        <v>0</v>
      </c>
      <c r="H165" s="126">
        <f>SUM(H166:H166)</f>
        <v>756.855</v>
      </c>
      <c r="I165" s="126">
        <f>SUM(I166:I166)</f>
        <v>0</v>
      </c>
      <c r="J165" s="126">
        <f>SUM(J166:J166)</f>
        <v>756.855</v>
      </c>
    </row>
    <row r="166" spans="1:10" ht="12.75" customHeight="1" thickBot="1">
      <c r="A166" s="540"/>
      <c r="B166" s="481"/>
      <c r="C166" s="463"/>
      <c r="D166" s="416">
        <v>2212</v>
      </c>
      <c r="E166" s="416">
        <v>5169</v>
      </c>
      <c r="F166" s="490" t="s">
        <v>65</v>
      </c>
      <c r="G166" s="119">
        <v>0</v>
      </c>
      <c r="H166" s="119">
        <f>756.855</f>
        <v>756.855</v>
      </c>
      <c r="I166" s="1"/>
      <c r="J166" s="1">
        <f>H166+I166</f>
        <v>756.855</v>
      </c>
    </row>
    <row r="167" spans="1:10" ht="12.75" customHeight="1">
      <c r="A167" s="540"/>
      <c r="B167" s="441" t="s">
        <v>5</v>
      </c>
      <c r="C167" s="123" t="s">
        <v>354</v>
      </c>
      <c r="D167" s="124" t="s">
        <v>3</v>
      </c>
      <c r="E167" s="124" t="s">
        <v>3</v>
      </c>
      <c r="F167" s="177" t="s">
        <v>355</v>
      </c>
      <c r="G167" s="382">
        <f>SUM(G168:G169)</f>
        <v>0</v>
      </c>
      <c r="H167" s="382">
        <f>SUM(H168:H169)</f>
        <v>28739.782</v>
      </c>
      <c r="I167" s="382">
        <f>SUM(I168:I169)</f>
        <v>0</v>
      </c>
      <c r="J167" s="382">
        <f>SUM(J168:J169)</f>
        <v>28739.782</v>
      </c>
    </row>
    <row r="168" spans="1:10" ht="12.75" customHeight="1">
      <c r="A168" s="540"/>
      <c r="B168" s="474"/>
      <c r="C168" s="404"/>
      <c r="D168" s="476">
        <v>2212</v>
      </c>
      <c r="E168" s="405">
        <v>6121</v>
      </c>
      <c r="F168" s="337" t="s">
        <v>197</v>
      </c>
      <c r="G168" s="42">
        <v>0</v>
      </c>
      <c r="H168" s="42">
        <f>384.78-224.455+120+37.189+132.829+4243.416</f>
        <v>4693.759</v>
      </c>
      <c r="I168" s="2"/>
      <c r="J168" s="2">
        <f>H168+I168</f>
        <v>4693.759</v>
      </c>
    </row>
    <row r="169" spans="1:10" ht="12.75" customHeight="1" thickBot="1">
      <c r="A169" s="540"/>
      <c r="B169" s="469"/>
      <c r="C169" s="497" t="s">
        <v>319</v>
      </c>
      <c r="D169" s="415">
        <v>2212</v>
      </c>
      <c r="E169" s="396">
        <v>6121</v>
      </c>
      <c r="F169" s="254" t="s">
        <v>197</v>
      </c>
      <c r="G169" s="318">
        <v>0</v>
      </c>
      <c r="H169" s="318">
        <v>24046.023</v>
      </c>
      <c r="I169" s="318"/>
      <c r="J169" s="318">
        <f>H169+I169</f>
        <v>24046.023</v>
      </c>
    </row>
    <row r="170" spans="1:10" ht="12.75" customHeight="1">
      <c r="A170" s="540"/>
      <c r="B170" s="441" t="s">
        <v>5</v>
      </c>
      <c r="C170" s="123" t="s">
        <v>356</v>
      </c>
      <c r="D170" s="124" t="s">
        <v>3</v>
      </c>
      <c r="E170" s="124" t="s">
        <v>3</v>
      </c>
      <c r="F170" s="177" t="s">
        <v>357</v>
      </c>
      <c r="G170" s="126">
        <f>SUM(G171:G171)</f>
        <v>0</v>
      </c>
      <c r="H170" s="126">
        <f>SUM(H171:H171)</f>
        <v>298.981</v>
      </c>
      <c r="I170" s="126">
        <f>SUM(I171:I171)</f>
        <v>0</v>
      </c>
      <c r="J170" s="126">
        <f>SUM(J171:J171)</f>
        <v>298.981</v>
      </c>
    </row>
    <row r="171" spans="1:10" ht="12.75" customHeight="1" thickBot="1">
      <c r="A171" s="540"/>
      <c r="B171" s="481"/>
      <c r="C171" s="463"/>
      <c r="D171" s="416">
        <v>2212</v>
      </c>
      <c r="E171" s="416">
        <v>5169</v>
      </c>
      <c r="F171" s="490" t="s">
        <v>65</v>
      </c>
      <c r="G171" s="119">
        <v>0</v>
      </c>
      <c r="H171" s="119">
        <f>487.63-296.45+107.801</f>
        <v>298.981</v>
      </c>
      <c r="I171" s="1"/>
      <c r="J171" s="1">
        <f>H171+I171</f>
        <v>298.981</v>
      </c>
    </row>
    <row r="172" spans="1:10" ht="12.75" customHeight="1">
      <c r="A172" s="540"/>
      <c r="B172" s="441" t="s">
        <v>5</v>
      </c>
      <c r="C172" s="123" t="s">
        <v>358</v>
      </c>
      <c r="D172" s="124" t="s">
        <v>3</v>
      </c>
      <c r="E172" s="124" t="s">
        <v>3</v>
      </c>
      <c r="F172" s="177" t="s">
        <v>359</v>
      </c>
      <c r="G172" s="126">
        <f>SUM(G173:G173)</f>
        <v>0</v>
      </c>
      <c r="H172" s="126">
        <f>SUM(H173:H173)</f>
        <v>228.08499999999998</v>
      </c>
      <c r="I172" s="126">
        <f>SUM(I173:I173)</f>
        <v>0</v>
      </c>
      <c r="J172" s="126">
        <f>SUM(J173:J173)</f>
        <v>228.08499999999998</v>
      </c>
    </row>
    <row r="173" spans="1:10" ht="12.75" customHeight="1" thickBot="1">
      <c r="A173" s="540"/>
      <c r="B173" s="481"/>
      <c r="C173" s="463"/>
      <c r="D173" s="416">
        <v>2212</v>
      </c>
      <c r="E173" s="405">
        <v>6121</v>
      </c>
      <c r="F173" s="337" t="s">
        <v>197</v>
      </c>
      <c r="G173" s="119">
        <v>0</v>
      </c>
      <c r="H173" s="119">
        <f>524.535-296.45</f>
        <v>228.08499999999998</v>
      </c>
      <c r="I173" s="1"/>
      <c r="J173" s="1">
        <f>H173+I173</f>
        <v>228.08499999999998</v>
      </c>
    </row>
    <row r="174" spans="1:10" ht="12.75" customHeight="1">
      <c r="A174" s="540"/>
      <c r="B174" s="441" t="s">
        <v>5</v>
      </c>
      <c r="C174" s="123" t="s">
        <v>360</v>
      </c>
      <c r="D174" s="124" t="s">
        <v>3</v>
      </c>
      <c r="E174" s="124" t="s">
        <v>3</v>
      </c>
      <c r="F174" s="177" t="s">
        <v>361</v>
      </c>
      <c r="G174" s="126">
        <f>SUM(G175:G175)</f>
        <v>0</v>
      </c>
      <c r="H174" s="126">
        <f>SUM(H175:H175)</f>
        <v>526.469</v>
      </c>
      <c r="I174" s="473">
        <f>SUM(I175:I175)</f>
        <v>-526.469</v>
      </c>
      <c r="J174" s="126">
        <f>SUM(J175:J175)</f>
        <v>0</v>
      </c>
    </row>
    <row r="175" spans="1:10" ht="12.75" customHeight="1" thickBot="1">
      <c r="A175" s="540"/>
      <c r="B175" s="481"/>
      <c r="C175" s="463"/>
      <c r="D175" s="416">
        <v>2212</v>
      </c>
      <c r="E175" s="405">
        <v>6121</v>
      </c>
      <c r="F175" s="337" t="s">
        <v>197</v>
      </c>
      <c r="G175" s="119">
        <v>0</v>
      </c>
      <c r="H175" s="119">
        <f>639.485-402.325+235.95+53.359</f>
        <v>526.469</v>
      </c>
      <c r="I175" s="471">
        <f>-(639.485-402.325+235.95+53.359)</f>
        <v>-526.469</v>
      </c>
      <c r="J175" s="1">
        <f>H175+I175</f>
        <v>0</v>
      </c>
    </row>
    <row r="176" spans="1:10" ht="12.75" customHeight="1">
      <c r="A176" s="540"/>
      <c r="B176" s="441" t="s">
        <v>5</v>
      </c>
      <c r="C176" s="123" t="s">
        <v>362</v>
      </c>
      <c r="D176" s="124" t="s">
        <v>3</v>
      </c>
      <c r="E176" s="124" t="s">
        <v>3</v>
      </c>
      <c r="F176" s="177" t="s">
        <v>363</v>
      </c>
      <c r="G176" s="126">
        <f>SUM(G177:G177)</f>
        <v>0</v>
      </c>
      <c r="H176" s="126">
        <f>SUM(H177:H177)</f>
        <v>281.93</v>
      </c>
      <c r="I176" s="126">
        <f>SUM(I177:I177)</f>
        <v>0</v>
      </c>
      <c r="J176" s="126">
        <f>SUM(J177:J177)</f>
        <v>281.93</v>
      </c>
    </row>
    <row r="177" spans="1:10" ht="12.75" customHeight="1" thickBot="1">
      <c r="A177" s="540"/>
      <c r="B177" s="481"/>
      <c r="C177" s="463"/>
      <c r="D177" s="416">
        <v>2212</v>
      </c>
      <c r="E177" s="416">
        <v>5169</v>
      </c>
      <c r="F177" s="490" t="s">
        <v>65</v>
      </c>
      <c r="G177" s="119">
        <v>0</v>
      </c>
      <c r="H177" s="119">
        <f>760.485-478.555</f>
        <v>281.93</v>
      </c>
      <c r="I177" s="1"/>
      <c r="J177" s="1">
        <f>H177+I177</f>
        <v>281.93</v>
      </c>
    </row>
    <row r="178" spans="1:10" ht="12.75" customHeight="1">
      <c r="A178" s="540"/>
      <c r="B178" s="441" t="s">
        <v>5</v>
      </c>
      <c r="C178" s="123" t="s">
        <v>364</v>
      </c>
      <c r="D178" s="124" t="s">
        <v>3</v>
      </c>
      <c r="E178" s="124" t="s">
        <v>3</v>
      </c>
      <c r="F178" s="177" t="s">
        <v>365</v>
      </c>
      <c r="G178" s="126">
        <f>SUM(G179:G179)</f>
        <v>0</v>
      </c>
      <c r="H178" s="126">
        <f>SUM(H179:H179)</f>
        <v>42.35</v>
      </c>
      <c r="I178" s="126">
        <f>SUM(I179:I179)</f>
        <v>0</v>
      </c>
      <c r="J178" s="126">
        <f>SUM(J179:J179)</f>
        <v>42.35</v>
      </c>
    </row>
    <row r="179" spans="1:10" ht="12.75" customHeight="1" thickBot="1">
      <c r="A179" s="540"/>
      <c r="B179" s="481"/>
      <c r="C179" s="463"/>
      <c r="D179" s="416">
        <v>2212</v>
      </c>
      <c r="E179" s="416">
        <v>5169</v>
      </c>
      <c r="F179" s="490" t="s">
        <v>65</v>
      </c>
      <c r="G179" s="119">
        <v>0</v>
      </c>
      <c r="H179" s="119">
        <v>42.35</v>
      </c>
      <c r="I179" s="1"/>
      <c r="J179" s="1">
        <f>H179+I179</f>
        <v>42.35</v>
      </c>
    </row>
    <row r="180" spans="1:10" ht="12.75" customHeight="1">
      <c r="A180" s="540"/>
      <c r="B180" s="441" t="s">
        <v>5</v>
      </c>
      <c r="C180" s="123" t="s">
        <v>366</v>
      </c>
      <c r="D180" s="124" t="s">
        <v>3</v>
      </c>
      <c r="E180" s="124" t="s">
        <v>3</v>
      </c>
      <c r="F180" s="177" t="s">
        <v>367</v>
      </c>
      <c r="G180" s="382">
        <f>SUM(G181:G182)</f>
        <v>0</v>
      </c>
      <c r="H180" s="382">
        <f>SUM(H181:H182)</f>
        <v>6942.436</v>
      </c>
      <c r="I180" s="382">
        <f>SUM(I181:I182)</f>
        <v>0</v>
      </c>
      <c r="J180" s="382">
        <f>SUM(J181:J182)</f>
        <v>6942.436</v>
      </c>
    </row>
    <row r="181" spans="1:10" ht="12.75" customHeight="1">
      <c r="A181" s="540"/>
      <c r="B181" s="474"/>
      <c r="C181" s="404"/>
      <c r="D181" s="476">
        <v>2212</v>
      </c>
      <c r="E181" s="405">
        <v>6121</v>
      </c>
      <c r="F181" s="337" t="s">
        <v>197</v>
      </c>
      <c r="G181" s="42">
        <v>0</v>
      </c>
      <c r="H181" s="42">
        <f>204.49+23.716+65.34+997.334</f>
        <v>1290.88</v>
      </c>
      <c r="I181" s="2"/>
      <c r="J181" s="2">
        <f>H181+I181</f>
        <v>1290.88</v>
      </c>
    </row>
    <row r="182" spans="1:10" ht="12.75" customHeight="1" thickBot="1">
      <c r="A182" s="540"/>
      <c r="B182" s="469"/>
      <c r="C182" s="497" t="s">
        <v>319</v>
      </c>
      <c r="D182" s="415">
        <v>2212</v>
      </c>
      <c r="E182" s="396">
        <v>6121</v>
      </c>
      <c r="F182" s="254" t="s">
        <v>197</v>
      </c>
      <c r="G182" s="318">
        <v>0</v>
      </c>
      <c r="H182" s="318">
        <v>5651.556</v>
      </c>
      <c r="I182" s="318"/>
      <c r="J182" s="318">
        <f>H182+I182</f>
        <v>5651.556</v>
      </c>
    </row>
    <row r="183" spans="1:10" ht="12.75" customHeight="1">
      <c r="A183" s="540"/>
      <c r="B183" s="441" t="s">
        <v>5</v>
      </c>
      <c r="C183" s="123" t="s">
        <v>368</v>
      </c>
      <c r="D183" s="124" t="s">
        <v>3</v>
      </c>
      <c r="E183" s="124" t="s">
        <v>3</v>
      </c>
      <c r="F183" s="177" t="s">
        <v>369</v>
      </c>
      <c r="G183" s="126">
        <f>SUM(G184:G184)</f>
        <v>0</v>
      </c>
      <c r="H183" s="126">
        <f>SUM(H184:H184)</f>
        <v>264.755</v>
      </c>
      <c r="I183" s="126">
        <f>SUM(I184:I184)</f>
        <v>0</v>
      </c>
      <c r="J183" s="126">
        <f>SUM(J184:J184)</f>
        <v>264.755</v>
      </c>
    </row>
    <row r="184" spans="1:10" ht="12.75" customHeight="1" thickBot="1">
      <c r="A184" s="540"/>
      <c r="B184" s="487"/>
      <c r="C184" s="463"/>
      <c r="D184" s="416">
        <v>2212</v>
      </c>
      <c r="E184" s="416">
        <v>5169</v>
      </c>
      <c r="F184" s="490" t="s">
        <v>65</v>
      </c>
      <c r="G184" s="43">
        <v>0</v>
      </c>
      <c r="H184" s="43">
        <f>594.48-329.725</f>
        <v>264.755</v>
      </c>
      <c r="I184" s="1"/>
      <c r="J184" s="1">
        <f>H184+I184</f>
        <v>264.755</v>
      </c>
    </row>
    <row r="185" spans="1:10" ht="12.75" customHeight="1">
      <c r="A185" s="540"/>
      <c r="B185" s="441" t="s">
        <v>5</v>
      </c>
      <c r="C185" s="123" t="s">
        <v>370</v>
      </c>
      <c r="D185" s="124" t="s">
        <v>3</v>
      </c>
      <c r="E185" s="124" t="s">
        <v>3</v>
      </c>
      <c r="F185" s="177" t="s">
        <v>371</v>
      </c>
      <c r="G185" s="126">
        <f>SUM(G186:G186)</f>
        <v>0</v>
      </c>
      <c r="H185" s="126">
        <f>SUM(H186:H186)</f>
        <v>246.83999999999997</v>
      </c>
      <c r="I185" s="126">
        <f>SUM(I186:I186)</f>
        <v>0</v>
      </c>
      <c r="J185" s="126">
        <f>SUM(J186:J186)</f>
        <v>246.83999999999997</v>
      </c>
    </row>
    <row r="186" spans="1:10" ht="12.75" customHeight="1" thickBot="1">
      <c r="A186" s="540"/>
      <c r="B186" s="507"/>
      <c r="C186" s="463"/>
      <c r="D186" s="416">
        <v>2212</v>
      </c>
      <c r="E186" s="416">
        <v>5169</v>
      </c>
      <c r="F186" s="490" t="s">
        <v>65</v>
      </c>
      <c r="G186" s="43">
        <v>0</v>
      </c>
      <c r="H186" s="43">
        <f>555.39-308.55</f>
        <v>246.83999999999997</v>
      </c>
      <c r="I186" s="1"/>
      <c r="J186" s="1">
        <f>H186+I186</f>
        <v>246.83999999999997</v>
      </c>
    </row>
    <row r="187" spans="1:10" ht="12.75" customHeight="1">
      <c r="A187" s="540"/>
      <c r="B187" s="441" t="s">
        <v>5</v>
      </c>
      <c r="C187" s="123" t="s">
        <v>372</v>
      </c>
      <c r="D187" s="401" t="s">
        <v>3</v>
      </c>
      <c r="E187" s="401" t="s">
        <v>3</v>
      </c>
      <c r="F187" s="402" t="s">
        <v>373</v>
      </c>
      <c r="G187" s="382">
        <f>SUM(G188:G190)</f>
        <v>0</v>
      </c>
      <c r="H187" s="382">
        <f>SUM(H188:H190)</f>
        <v>723.221</v>
      </c>
      <c r="I187" s="382">
        <f>SUM(I188:I190)</f>
        <v>0</v>
      </c>
      <c r="J187" s="382">
        <f>SUM(J188:J190)</f>
        <v>723.221</v>
      </c>
    </row>
    <row r="188" spans="1:10" ht="12.75" customHeight="1">
      <c r="A188" s="540"/>
      <c r="B188" s="403"/>
      <c r="C188" s="404"/>
      <c r="D188" s="405">
        <v>2212</v>
      </c>
      <c r="E188" s="445">
        <v>5169</v>
      </c>
      <c r="F188" s="446" t="s">
        <v>65</v>
      </c>
      <c r="G188" s="2">
        <v>0</v>
      </c>
      <c r="H188" s="272">
        <f>18.029+39.325</f>
        <v>57.354</v>
      </c>
      <c r="I188" s="272"/>
      <c r="J188" s="2">
        <f>H188+I188</f>
        <v>57.354</v>
      </c>
    </row>
    <row r="189" spans="1:10" ht="12.75" customHeight="1">
      <c r="A189" s="540"/>
      <c r="B189" s="403"/>
      <c r="C189" s="404"/>
      <c r="D189" s="405">
        <v>2212</v>
      </c>
      <c r="E189" s="445">
        <v>5171</v>
      </c>
      <c r="F189" s="494" t="s">
        <v>275</v>
      </c>
      <c r="G189" s="2">
        <v>0</v>
      </c>
      <c r="H189" s="272">
        <f>99.88-66.586</f>
        <v>33.294</v>
      </c>
      <c r="I189" s="272"/>
      <c r="J189" s="2">
        <f>H189+I189</f>
        <v>33.294</v>
      </c>
    </row>
    <row r="190" spans="1:10" ht="12.75" customHeight="1" thickBot="1">
      <c r="A190" s="540"/>
      <c r="B190" s="469"/>
      <c r="C190" s="450" t="s">
        <v>266</v>
      </c>
      <c r="D190" s="396">
        <v>2212</v>
      </c>
      <c r="E190" s="397">
        <v>5171</v>
      </c>
      <c r="F190" s="470" t="s">
        <v>275</v>
      </c>
      <c r="G190" s="318">
        <v>0</v>
      </c>
      <c r="H190" s="1">
        <f>565.987+66.586</f>
        <v>632.573</v>
      </c>
      <c r="I190" s="1"/>
      <c r="J190" s="318">
        <f>H190+I190</f>
        <v>632.573</v>
      </c>
    </row>
    <row r="191" spans="1:10" ht="12.75" customHeight="1">
      <c r="A191" s="540"/>
      <c r="B191" s="441" t="s">
        <v>5</v>
      </c>
      <c r="C191" s="123" t="s">
        <v>374</v>
      </c>
      <c r="D191" s="401" t="s">
        <v>3</v>
      </c>
      <c r="E191" s="401" t="s">
        <v>3</v>
      </c>
      <c r="F191" s="402" t="s">
        <v>375</v>
      </c>
      <c r="G191" s="382">
        <f>SUM(G192:G193)</f>
        <v>0</v>
      </c>
      <c r="H191" s="382">
        <f>SUM(H192:H193)</f>
        <v>917.153</v>
      </c>
      <c r="I191" s="382">
        <f>SUM(I192:I193)</f>
        <v>0</v>
      </c>
      <c r="J191" s="382">
        <f>SUM(J192:J193)</f>
        <v>917.153</v>
      </c>
    </row>
    <row r="192" spans="1:10" ht="12.75" customHeight="1">
      <c r="A192" s="540"/>
      <c r="B192" s="403"/>
      <c r="C192" s="404"/>
      <c r="D192" s="476">
        <v>2212</v>
      </c>
      <c r="E192" s="405">
        <v>6121</v>
      </c>
      <c r="F192" s="337" t="s">
        <v>197</v>
      </c>
      <c r="G192" s="2">
        <v>0</v>
      </c>
      <c r="H192" s="2">
        <f>19.36+42.35+128.317</f>
        <v>190.02700000000002</v>
      </c>
      <c r="I192" s="2"/>
      <c r="J192" s="2">
        <f>H192+I192</f>
        <v>190.02700000000002</v>
      </c>
    </row>
    <row r="193" spans="1:10" ht="12.75" customHeight="1" thickBot="1">
      <c r="A193" s="540"/>
      <c r="B193" s="469"/>
      <c r="C193" s="497" t="s">
        <v>319</v>
      </c>
      <c r="D193" s="416">
        <v>2212</v>
      </c>
      <c r="E193" s="421">
        <v>6121</v>
      </c>
      <c r="F193" s="503" t="s">
        <v>197</v>
      </c>
      <c r="G193" s="318">
        <v>0</v>
      </c>
      <c r="H193" s="318">
        <v>727.126</v>
      </c>
      <c r="I193" s="318"/>
      <c r="J193" s="318">
        <f>H193+I193</f>
        <v>727.126</v>
      </c>
    </row>
    <row r="194" spans="1:10" ht="12.75" customHeight="1">
      <c r="A194" s="540"/>
      <c r="B194" s="441" t="s">
        <v>5</v>
      </c>
      <c r="C194" s="123" t="s">
        <v>376</v>
      </c>
      <c r="D194" s="124" t="s">
        <v>3</v>
      </c>
      <c r="E194" s="124" t="s">
        <v>3</v>
      </c>
      <c r="F194" s="177" t="s">
        <v>377</v>
      </c>
      <c r="G194" s="382">
        <f>SUM(G195:G196)</f>
        <v>0</v>
      </c>
      <c r="H194" s="382">
        <f>SUM(H195:H196)</f>
        <v>876.268</v>
      </c>
      <c r="I194" s="382">
        <f>SUM(I195:I196)</f>
        <v>0</v>
      </c>
      <c r="J194" s="382">
        <f>SUM(J195:J196)</f>
        <v>876.268</v>
      </c>
    </row>
    <row r="195" spans="1:10" ht="12.75" customHeight="1">
      <c r="A195" s="540"/>
      <c r="B195" s="474"/>
      <c r="C195" s="404"/>
      <c r="D195" s="476">
        <v>2212</v>
      </c>
      <c r="E195" s="476">
        <v>6121</v>
      </c>
      <c r="F195" s="337" t="s">
        <v>197</v>
      </c>
      <c r="G195" s="42">
        <v>0</v>
      </c>
      <c r="H195" s="2">
        <f>30.25+126.903</f>
        <v>157.15300000000002</v>
      </c>
      <c r="I195" s="2"/>
      <c r="J195" s="2">
        <f>H195+I195</f>
        <v>157.15300000000002</v>
      </c>
    </row>
    <row r="196" spans="1:10" ht="12.75" customHeight="1" thickBot="1">
      <c r="A196" s="540"/>
      <c r="B196" s="469"/>
      <c r="C196" s="497" t="s">
        <v>319</v>
      </c>
      <c r="D196" s="415">
        <v>2212</v>
      </c>
      <c r="E196" s="396">
        <v>6121</v>
      </c>
      <c r="F196" s="254" t="s">
        <v>197</v>
      </c>
      <c r="G196" s="318">
        <v>0</v>
      </c>
      <c r="H196" s="318">
        <v>719.115</v>
      </c>
      <c r="I196" s="318"/>
      <c r="J196" s="318">
        <f>H196+I196</f>
        <v>719.115</v>
      </c>
    </row>
    <row r="197" spans="1:10" ht="12.75" customHeight="1">
      <c r="A197" s="540"/>
      <c r="B197" s="441" t="s">
        <v>5</v>
      </c>
      <c r="C197" s="123" t="s">
        <v>378</v>
      </c>
      <c r="D197" s="401" t="s">
        <v>3</v>
      </c>
      <c r="E197" s="401" t="s">
        <v>3</v>
      </c>
      <c r="F197" s="402" t="s">
        <v>379</v>
      </c>
      <c r="G197" s="382">
        <f>SUM(G198:G199)</f>
        <v>0</v>
      </c>
      <c r="H197" s="382">
        <f>SUM(H198:H199)</f>
        <v>4830.419</v>
      </c>
      <c r="I197" s="382">
        <f>SUM(I198:I199)</f>
        <v>0</v>
      </c>
      <c r="J197" s="382">
        <f>SUM(J198:J199)</f>
        <v>4830.419</v>
      </c>
    </row>
    <row r="198" spans="1:10" ht="12.75" customHeight="1">
      <c r="A198" s="540"/>
      <c r="B198" s="403"/>
      <c r="C198" s="404"/>
      <c r="D198" s="405">
        <v>2212</v>
      </c>
      <c r="E198" s="445">
        <v>5171</v>
      </c>
      <c r="F198" s="494" t="s">
        <v>275</v>
      </c>
      <c r="G198" s="2">
        <v>0</v>
      </c>
      <c r="H198" s="272">
        <v>724.563</v>
      </c>
      <c r="I198" s="272"/>
      <c r="J198" s="2">
        <f>H198+I198</f>
        <v>724.563</v>
      </c>
    </row>
    <row r="199" spans="1:10" ht="12.75" customHeight="1" thickBot="1">
      <c r="A199" s="540"/>
      <c r="B199" s="469"/>
      <c r="C199" s="450" t="s">
        <v>266</v>
      </c>
      <c r="D199" s="396">
        <v>2212</v>
      </c>
      <c r="E199" s="397">
        <v>5171</v>
      </c>
      <c r="F199" s="470" t="s">
        <v>275</v>
      </c>
      <c r="G199" s="318">
        <v>0</v>
      </c>
      <c r="H199" s="1">
        <v>4105.856</v>
      </c>
      <c r="I199" s="1"/>
      <c r="J199" s="318">
        <f>H199+I199</f>
        <v>4105.856</v>
      </c>
    </row>
    <row r="200" spans="1:10" ht="12.75" customHeight="1">
      <c r="A200" s="540"/>
      <c r="B200" s="441" t="s">
        <v>5</v>
      </c>
      <c r="C200" s="123" t="s">
        <v>380</v>
      </c>
      <c r="D200" s="401" t="s">
        <v>3</v>
      </c>
      <c r="E200" s="401" t="s">
        <v>3</v>
      </c>
      <c r="F200" s="402" t="s">
        <v>381</v>
      </c>
      <c r="G200" s="382">
        <f>SUM(G201:G202)</f>
        <v>0</v>
      </c>
      <c r="H200" s="382">
        <f>SUM(H201:H202)</f>
        <v>5002.678</v>
      </c>
      <c r="I200" s="382">
        <f>SUM(I201:I202)</f>
        <v>0</v>
      </c>
      <c r="J200" s="382">
        <f>SUM(J201:J202)</f>
        <v>5002.678</v>
      </c>
    </row>
    <row r="201" spans="1:10" ht="12.75" customHeight="1">
      <c r="A201" s="540"/>
      <c r="B201" s="403"/>
      <c r="C201" s="404"/>
      <c r="D201" s="476">
        <v>2212</v>
      </c>
      <c r="E201" s="405">
        <v>6121</v>
      </c>
      <c r="F201" s="337" t="s">
        <v>197</v>
      </c>
      <c r="G201" s="2">
        <v>0</v>
      </c>
      <c r="H201" s="2">
        <f>38.72+70.18+734.067</f>
        <v>842.967</v>
      </c>
      <c r="I201" s="2"/>
      <c r="J201" s="2">
        <f>H201+I201</f>
        <v>842.967</v>
      </c>
    </row>
    <row r="202" spans="1:10" ht="12.75" customHeight="1" thickBot="1">
      <c r="A202" s="540"/>
      <c r="B202" s="469"/>
      <c r="C202" s="497" t="s">
        <v>319</v>
      </c>
      <c r="D202" s="416">
        <v>2212</v>
      </c>
      <c r="E202" s="421">
        <v>6121</v>
      </c>
      <c r="F202" s="503" t="s">
        <v>197</v>
      </c>
      <c r="G202" s="318">
        <v>0</v>
      </c>
      <c r="H202" s="318">
        <v>4159.711</v>
      </c>
      <c r="I202" s="318"/>
      <c r="J202" s="318">
        <f>H202+I202</f>
        <v>4159.711</v>
      </c>
    </row>
    <row r="203" spans="1:10" ht="12.75" customHeight="1">
      <c r="A203" s="540"/>
      <c r="B203" s="441" t="s">
        <v>5</v>
      </c>
      <c r="C203" s="123" t="s">
        <v>382</v>
      </c>
      <c r="D203" s="401" t="s">
        <v>3</v>
      </c>
      <c r="E203" s="401" t="s">
        <v>3</v>
      </c>
      <c r="F203" s="402" t="s">
        <v>383</v>
      </c>
      <c r="G203" s="382">
        <f>SUM(G204:G206)</f>
        <v>0</v>
      </c>
      <c r="H203" s="382">
        <f>SUM(H204:H206)</f>
        <v>958.7379999999999</v>
      </c>
      <c r="I203" s="382">
        <f>SUM(I204:I206)</f>
        <v>0</v>
      </c>
      <c r="J203" s="382">
        <f>SUM(J204:J206)</f>
        <v>958.7379999999999</v>
      </c>
    </row>
    <row r="204" spans="1:10" ht="12.75" customHeight="1">
      <c r="A204" s="540"/>
      <c r="B204" s="403"/>
      <c r="C204" s="404"/>
      <c r="D204" s="405">
        <v>2212</v>
      </c>
      <c r="E204" s="445">
        <v>5169</v>
      </c>
      <c r="F204" s="446" t="s">
        <v>65</v>
      </c>
      <c r="G204" s="2">
        <v>0</v>
      </c>
      <c r="H204" s="272">
        <f>25.89+27.83</f>
        <v>53.72</v>
      </c>
      <c r="I204" s="272"/>
      <c r="J204" s="2">
        <f>H204+I204</f>
        <v>53.72</v>
      </c>
    </row>
    <row r="205" spans="1:10" ht="12.75" customHeight="1">
      <c r="A205" s="540"/>
      <c r="B205" s="403"/>
      <c r="C205" s="404"/>
      <c r="D205" s="405">
        <v>2212</v>
      </c>
      <c r="E205" s="445">
        <v>5171</v>
      </c>
      <c r="F205" s="494" t="s">
        <v>275</v>
      </c>
      <c r="G205" s="2">
        <v>0</v>
      </c>
      <c r="H205" s="272">
        <v>135.753</v>
      </c>
      <c r="I205" s="272"/>
      <c r="J205" s="2">
        <f>H205+I205</f>
        <v>135.753</v>
      </c>
    </row>
    <row r="206" spans="1:10" ht="12.75" customHeight="1" thickBot="1">
      <c r="A206" s="540"/>
      <c r="B206" s="431"/>
      <c r="C206" s="504" t="s">
        <v>266</v>
      </c>
      <c r="D206" s="421">
        <v>2212</v>
      </c>
      <c r="E206" s="451">
        <v>5171</v>
      </c>
      <c r="F206" s="452" t="s">
        <v>275</v>
      </c>
      <c r="G206" s="1">
        <v>0</v>
      </c>
      <c r="H206" s="1">
        <v>769.265</v>
      </c>
      <c r="I206" s="1"/>
      <c r="J206" s="1">
        <f>H206+I206</f>
        <v>769.265</v>
      </c>
    </row>
    <row r="207" spans="1:10" ht="12.75" customHeight="1">
      <c r="A207" s="540"/>
      <c r="B207" s="441" t="s">
        <v>5</v>
      </c>
      <c r="C207" s="123" t="s">
        <v>384</v>
      </c>
      <c r="D207" s="401" t="s">
        <v>3</v>
      </c>
      <c r="E207" s="401" t="s">
        <v>3</v>
      </c>
      <c r="F207" s="402" t="s">
        <v>385</v>
      </c>
      <c r="G207" s="382">
        <f>SUM(G208:G209)</f>
        <v>0</v>
      </c>
      <c r="H207" s="382">
        <f>SUM(H208:H209)</f>
        <v>6932.8640000000005</v>
      </c>
      <c r="I207" s="382">
        <f>SUM(I208:I209)</f>
        <v>0</v>
      </c>
      <c r="J207" s="382">
        <f>SUM(J208:J209)</f>
        <v>6932.8640000000005</v>
      </c>
    </row>
    <row r="208" spans="1:10" ht="12.75" customHeight="1">
      <c r="A208" s="540"/>
      <c r="B208" s="403"/>
      <c r="C208" s="404"/>
      <c r="D208" s="405">
        <v>2212</v>
      </c>
      <c r="E208" s="445">
        <v>5171</v>
      </c>
      <c r="F208" s="494" t="s">
        <v>275</v>
      </c>
      <c r="G208" s="2">
        <v>0</v>
      </c>
      <c r="H208" s="272">
        <v>1039.93</v>
      </c>
      <c r="I208" s="272"/>
      <c r="J208" s="2">
        <f>H208+I208</f>
        <v>1039.93</v>
      </c>
    </row>
    <row r="209" spans="1:10" ht="12.75" customHeight="1" thickBot="1">
      <c r="A209" s="540"/>
      <c r="B209" s="469"/>
      <c r="C209" s="450" t="s">
        <v>266</v>
      </c>
      <c r="D209" s="396">
        <v>2212</v>
      </c>
      <c r="E209" s="397">
        <v>5171</v>
      </c>
      <c r="F209" s="470" t="s">
        <v>275</v>
      </c>
      <c r="G209" s="318">
        <v>0</v>
      </c>
      <c r="H209" s="1">
        <v>5892.934</v>
      </c>
      <c r="I209" s="1"/>
      <c r="J209" s="318">
        <f>H209+I209</f>
        <v>5892.934</v>
      </c>
    </row>
    <row r="210" spans="1:10" ht="12.75" customHeight="1">
      <c r="A210" s="540"/>
      <c r="B210" s="441" t="s">
        <v>5</v>
      </c>
      <c r="C210" s="123" t="s">
        <v>386</v>
      </c>
      <c r="D210" s="401" t="s">
        <v>3</v>
      </c>
      <c r="E210" s="401" t="s">
        <v>3</v>
      </c>
      <c r="F210" s="402" t="s">
        <v>387</v>
      </c>
      <c r="G210" s="382">
        <f>SUM(G211:G212)</f>
        <v>0</v>
      </c>
      <c r="H210" s="382">
        <f>SUM(H211:H212)</f>
        <v>734.7070000000001</v>
      </c>
      <c r="I210" s="382">
        <f>SUM(I211:I212)</f>
        <v>0</v>
      </c>
      <c r="J210" s="382">
        <f>SUM(J211:J212)</f>
        <v>734.7070000000001</v>
      </c>
    </row>
    <row r="211" spans="1:10" ht="12.75" customHeight="1">
      <c r="A211" s="540"/>
      <c r="B211" s="403"/>
      <c r="C211" s="404"/>
      <c r="D211" s="476">
        <v>2212</v>
      </c>
      <c r="E211" s="405">
        <v>6121</v>
      </c>
      <c r="F211" s="337" t="s">
        <v>197</v>
      </c>
      <c r="G211" s="2">
        <v>0</v>
      </c>
      <c r="H211" s="2">
        <f>19.36+36.3+101.857</f>
        <v>157.517</v>
      </c>
      <c r="I211" s="2"/>
      <c r="J211" s="2">
        <f>H211+I211</f>
        <v>157.517</v>
      </c>
    </row>
    <row r="212" spans="1:10" ht="12.75" customHeight="1" thickBot="1">
      <c r="A212" s="540"/>
      <c r="B212" s="469"/>
      <c r="C212" s="497" t="s">
        <v>319</v>
      </c>
      <c r="D212" s="416">
        <v>2212</v>
      </c>
      <c r="E212" s="421">
        <v>6121</v>
      </c>
      <c r="F212" s="503" t="s">
        <v>197</v>
      </c>
      <c r="G212" s="318">
        <v>0</v>
      </c>
      <c r="H212" s="318">
        <v>577.19</v>
      </c>
      <c r="I212" s="318"/>
      <c r="J212" s="318">
        <f>H212+I212</f>
        <v>577.19</v>
      </c>
    </row>
    <row r="213" spans="1:10" ht="12.75" customHeight="1">
      <c r="A213" s="540"/>
      <c r="B213" s="441" t="s">
        <v>5</v>
      </c>
      <c r="C213" s="123" t="s">
        <v>388</v>
      </c>
      <c r="D213" s="401" t="s">
        <v>3</v>
      </c>
      <c r="E213" s="401" t="s">
        <v>3</v>
      </c>
      <c r="F213" s="402" t="s">
        <v>389</v>
      </c>
      <c r="G213" s="382">
        <f>SUM(G214:G215)</f>
        <v>0</v>
      </c>
      <c r="H213" s="382">
        <f>SUM(H214:H215)</f>
        <v>8956.663</v>
      </c>
      <c r="I213" s="382">
        <f>SUM(I214:I215)</f>
        <v>0</v>
      </c>
      <c r="J213" s="382">
        <f>SUM(J214:J215)</f>
        <v>8956.663</v>
      </c>
    </row>
    <row r="214" spans="1:10" ht="12.75" customHeight="1">
      <c r="A214" s="540"/>
      <c r="B214" s="403"/>
      <c r="C214" s="404"/>
      <c r="D214" s="476">
        <v>2212</v>
      </c>
      <c r="E214" s="405">
        <v>6121</v>
      </c>
      <c r="F214" s="337" t="s">
        <v>197</v>
      </c>
      <c r="G214" s="2">
        <v>0</v>
      </c>
      <c r="H214" s="2">
        <f>49.368+98.01+1321.393</f>
        <v>1468.771</v>
      </c>
      <c r="I214" s="2"/>
      <c r="J214" s="2">
        <f>H214+I214</f>
        <v>1468.771</v>
      </c>
    </row>
    <row r="215" spans="1:10" ht="12.75" customHeight="1" thickBot="1">
      <c r="A215" s="540"/>
      <c r="B215" s="469"/>
      <c r="C215" s="497" t="s">
        <v>319</v>
      </c>
      <c r="D215" s="416">
        <v>2212</v>
      </c>
      <c r="E215" s="421">
        <v>6121</v>
      </c>
      <c r="F215" s="503" t="s">
        <v>197</v>
      </c>
      <c r="G215" s="318">
        <v>0</v>
      </c>
      <c r="H215" s="318">
        <v>7487.892</v>
      </c>
      <c r="I215" s="318"/>
      <c r="J215" s="318">
        <f>H215+I215</f>
        <v>7487.892</v>
      </c>
    </row>
    <row r="216" spans="1:10" ht="12.75" customHeight="1">
      <c r="A216" s="540"/>
      <c r="B216" s="441" t="s">
        <v>5</v>
      </c>
      <c r="C216" s="123" t="s">
        <v>390</v>
      </c>
      <c r="D216" s="401" t="s">
        <v>3</v>
      </c>
      <c r="E216" s="401" t="s">
        <v>3</v>
      </c>
      <c r="F216" s="402" t="s">
        <v>391</v>
      </c>
      <c r="G216" s="382">
        <f>SUM(G217:G218)</f>
        <v>0</v>
      </c>
      <c r="H216" s="382">
        <f>SUM(H217:H218)</f>
        <v>3661.667</v>
      </c>
      <c r="I216" s="382">
        <f>SUM(I217:I218)</f>
        <v>0</v>
      </c>
      <c r="J216" s="382">
        <f>SUM(J217:J218)</f>
        <v>3661.667</v>
      </c>
    </row>
    <row r="217" spans="1:10" ht="12.75" customHeight="1">
      <c r="A217" s="540"/>
      <c r="B217" s="403"/>
      <c r="C217" s="404"/>
      <c r="D217" s="405">
        <v>2212</v>
      </c>
      <c r="E217" s="445">
        <v>5171</v>
      </c>
      <c r="F217" s="494" t="s">
        <v>275</v>
      </c>
      <c r="G217" s="2">
        <v>0</v>
      </c>
      <c r="H217" s="272">
        <v>549.25</v>
      </c>
      <c r="I217" s="272"/>
      <c r="J217" s="2">
        <f>H217+I217</f>
        <v>549.25</v>
      </c>
    </row>
    <row r="218" spans="1:10" ht="12.75" customHeight="1" thickBot="1">
      <c r="A218" s="540"/>
      <c r="B218" s="431"/>
      <c r="C218" s="504" t="s">
        <v>266</v>
      </c>
      <c r="D218" s="421">
        <v>2212</v>
      </c>
      <c r="E218" s="397">
        <v>5171</v>
      </c>
      <c r="F218" s="470" t="s">
        <v>275</v>
      </c>
      <c r="G218" s="1">
        <v>0</v>
      </c>
      <c r="H218" s="1">
        <v>3112.417</v>
      </c>
      <c r="I218" s="1"/>
      <c r="J218" s="1">
        <f>H218+I218</f>
        <v>3112.417</v>
      </c>
    </row>
    <row r="219" spans="1:10" ht="12.75" customHeight="1">
      <c r="A219" s="540"/>
      <c r="B219" s="441" t="s">
        <v>5</v>
      </c>
      <c r="C219" s="123" t="s">
        <v>392</v>
      </c>
      <c r="D219" s="124" t="s">
        <v>3</v>
      </c>
      <c r="E219" s="124" t="s">
        <v>3</v>
      </c>
      <c r="F219" s="177" t="s">
        <v>393</v>
      </c>
      <c r="G219" s="382">
        <f>SUM(G220:G221)</f>
        <v>0</v>
      </c>
      <c r="H219" s="382">
        <f>SUM(H220:H221)</f>
        <v>1017.5799999999999</v>
      </c>
      <c r="I219" s="382">
        <f>SUM(I220:I221)</f>
        <v>0</v>
      </c>
      <c r="J219" s="382">
        <f>SUM(J220:J221)</f>
        <v>1017.5799999999999</v>
      </c>
    </row>
    <row r="220" spans="1:10" ht="12.75" customHeight="1">
      <c r="A220" s="540"/>
      <c r="B220" s="474"/>
      <c r="C220" s="404"/>
      <c r="D220" s="476">
        <v>2212</v>
      </c>
      <c r="E220" s="405">
        <v>6121</v>
      </c>
      <c r="F220" s="337" t="s">
        <v>197</v>
      </c>
      <c r="G220" s="42">
        <v>0</v>
      </c>
      <c r="H220" s="2">
        <f>16.94+38.72+144.288</f>
        <v>199.948</v>
      </c>
      <c r="I220" s="2"/>
      <c r="J220" s="2">
        <f>H220+I220</f>
        <v>199.948</v>
      </c>
    </row>
    <row r="221" spans="1:10" ht="12.75" customHeight="1" thickBot="1">
      <c r="A221" s="540"/>
      <c r="B221" s="469"/>
      <c r="C221" s="497" t="s">
        <v>319</v>
      </c>
      <c r="D221" s="415">
        <v>2212</v>
      </c>
      <c r="E221" s="396">
        <v>6121</v>
      </c>
      <c r="F221" s="254" t="s">
        <v>197</v>
      </c>
      <c r="G221" s="318">
        <v>0</v>
      </c>
      <c r="H221" s="318">
        <v>817.632</v>
      </c>
      <c r="I221" s="318"/>
      <c r="J221" s="318">
        <f>H221+I221</f>
        <v>817.632</v>
      </c>
    </row>
    <row r="222" spans="1:10" ht="12.75" customHeight="1">
      <c r="A222" s="540"/>
      <c r="B222" s="441" t="s">
        <v>5</v>
      </c>
      <c r="C222" s="123" t="s">
        <v>394</v>
      </c>
      <c r="D222" s="401" t="s">
        <v>3</v>
      </c>
      <c r="E222" s="401" t="s">
        <v>3</v>
      </c>
      <c r="F222" s="402" t="s">
        <v>395</v>
      </c>
      <c r="G222" s="382">
        <f>SUM(G223:G225)</f>
        <v>0</v>
      </c>
      <c r="H222" s="382">
        <f>SUM(H223:H225)</f>
        <v>1575.3469999999998</v>
      </c>
      <c r="I222" s="382">
        <f>SUM(I223:I225)</f>
        <v>0</v>
      </c>
      <c r="J222" s="382">
        <f>SUM(J223:J225)</f>
        <v>1575.3469999999998</v>
      </c>
    </row>
    <row r="223" spans="1:10" ht="12.75" customHeight="1">
      <c r="A223" s="540"/>
      <c r="B223" s="403"/>
      <c r="C223" s="404"/>
      <c r="D223" s="405">
        <v>2212</v>
      </c>
      <c r="E223" s="445">
        <v>5169</v>
      </c>
      <c r="F223" s="446" t="s">
        <v>65</v>
      </c>
      <c r="G223" s="2">
        <v>0</v>
      </c>
      <c r="H223" s="272">
        <f>24.2+36.3</f>
        <v>60.5</v>
      </c>
      <c r="I223" s="272"/>
      <c r="J223" s="2">
        <f>H223+I223</f>
        <v>60.5</v>
      </c>
    </row>
    <row r="224" spans="1:10" ht="12.75" customHeight="1">
      <c r="A224" s="540"/>
      <c r="B224" s="403"/>
      <c r="C224" s="404"/>
      <c r="D224" s="405">
        <v>2212</v>
      </c>
      <c r="E224" s="445">
        <v>5171</v>
      </c>
      <c r="F224" s="494" t="s">
        <v>275</v>
      </c>
      <c r="G224" s="2">
        <v>0</v>
      </c>
      <c r="H224" s="272">
        <v>227.227</v>
      </c>
      <c r="I224" s="272"/>
      <c r="J224" s="2">
        <f>H224+I224</f>
        <v>227.227</v>
      </c>
    </row>
    <row r="225" spans="1:10" ht="12.75" customHeight="1" thickBot="1">
      <c r="A225" s="540"/>
      <c r="B225" s="469"/>
      <c r="C225" s="450" t="s">
        <v>266</v>
      </c>
      <c r="D225" s="396">
        <v>2212</v>
      </c>
      <c r="E225" s="397">
        <v>5171</v>
      </c>
      <c r="F225" s="470" t="s">
        <v>275</v>
      </c>
      <c r="G225" s="318">
        <v>0</v>
      </c>
      <c r="H225" s="1">
        <v>1287.62</v>
      </c>
      <c r="I225" s="1"/>
      <c r="J225" s="318">
        <f>H225+I225</f>
        <v>1287.62</v>
      </c>
    </row>
    <row r="226" spans="1:10" ht="12.75" customHeight="1">
      <c r="A226" s="540"/>
      <c r="B226" s="441" t="s">
        <v>5</v>
      </c>
      <c r="C226" s="123" t="s">
        <v>396</v>
      </c>
      <c r="D226" s="124" t="s">
        <v>3</v>
      </c>
      <c r="E226" s="124" t="s">
        <v>3</v>
      </c>
      <c r="F226" s="177" t="s">
        <v>397</v>
      </c>
      <c r="G226" s="382">
        <f>SUM(G227:G228)</f>
        <v>0</v>
      </c>
      <c r="H226" s="382">
        <f>SUM(H227:H228)</f>
        <v>3072.931</v>
      </c>
      <c r="I226" s="382">
        <f>SUM(I227:I228)</f>
        <v>0</v>
      </c>
      <c r="J226" s="382">
        <f>SUM(J227:J228)</f>
        <v>3072.931</v>
      </c>
    </row>
    <row r="227" spans="1:10" ht="12.75" customHeight="1">
      <c r="A227" s="540"/>
      <c r="B227" s="474"/>
      <c r="C227" s="404"/>
      <c r="D227" s="476">
        <v>2212</v>
      </c>
      <c r="E227" s="476">
        <v>6121</v>
      </c>
      <c r="F227" s="337" t="s">
        <v>197</v>
      </c>
      <c r="G227" s="42">
        <v>0</v>
      </c>
      <c r="H227" s="2">
        <f>32.2+60.5+447.035</f>
        <v>539.735</v>
      </c>
      <c r="I227" s="2"/>
      <c r="J227" s="2">
        <f>H227+I227</f>
        <v>539.735</v>
      </c>
    </row>
    <row r="228" spans="1:10" ht="12.75" customHeight="1" thickBot="1">
      <c r="A228" s="540"/>
      <c r="B228" s="469"/>
      <c r="C228" s="497" t="s">
        <v>319</v>
      </c>
      <c r="D228" s="415">
        <v>2212</v>
      </c>
      <c r="E228" s="396">
        <v>6121</v>
      </c>
      <c r="F228" s="254" t="s">
        <v>197</v>
      </c>
      <c r="G228" s="318">
        <v>0</v>
      </c>
      <c r="H228" s="318">
        <v>2533.196</v>
      </c>
      <c r="I228" s="318"/>
      <c r="J228" s="318">
        <f>H228+I228</f>
        <v>2533.196</v>
      </c>
    </row>
    <row r="229" spans="1:10" ht="12.75" customHeight="1">
      <c r="A229" s="540"/>
      <c r="B229" s="441" t="s">
        <v>5</v>
      </c>
      <c r="C229" s="123" t="s">
        <v>398</v>
      </c>
      <c r="D229" s="124" t="s">
        <v>3</v>
      </c>
      <c r="E229" s="124" t="s">
        <v>3</v>
      </c>
      <c r="F229" s="177" t="s">
        <v>399</v>
      </c>
      <c r="G229" s="382">
        <f>SUM(G230:G231)</f>
        <v>0</v>
      </c>
      <c r="H229" s="382">
        <f>SUM(H230:H231)</f>
        <v>636.206</v>
      </c>
      <c r="I229" s="382">
        <f>SUM(I230:I231)</f>
        <v>0</v>
      </c>
      <c r="J229" s="382">
        <f>SUM(J230:J231)</f>
        <v>636.206</v>
      </c>
    </row>
    <row r="230" spans="1:10" ht="12.75" customHeight="1">
      <c r="A230" s="540"/>
      <c r="B230" s="474"/>
      <c r="C230" s="404"/>
      <c r="D230" s="476">
        <v>2212</v>
      </c>
      <c r="E230" s="476">
        <v>6121</v>
      </c>
      <c r="F230" s="337" t="s">
        <v>197</v>
      </c>
      <c r="G230" s="42">
        <v>0</v>
      </c>
      <c r="H230" s="2">
        <f>16.94+92.89</f>
        <v>109.83</v>
      </c>
      <c r="I230" s="2"/>
      <c r="J230" s="2">
        <f>H230+I230</f>
        <v>109.83</v>
      </c>
    </row>
    <row r="231" spans="1:10" ht="12.75" customHeight="1" thickBot="1">
      <c r="A231" s="540"/>
      <c r="B231" s="469"/>
      <c r="C231" s="497" t="s">
        <v>319</v>
      </c>
      <c r="D231" s="415">
        <v>2212</v>
      </c>
      <c r="E231" s="396">
        <v>6121</v>
      </c>
      <c r="F231" s="254" t="s">
        <v>197</v>
      </c>
      <c r="G231" s="318">
        <v>0</v>
      </c>
      <c r="H231" s="318">
        <v>526.376</v>
      </c>
      <c r="I231" s="318"/>
      <c r="J231" s="318">
        <f>H231+I231</f>
        <v>526.376</v>
      </c>
    </row>
    <row r="232" spans="1:10" ht="12.75" customHeight="1">
      <c r="A232" s="540"/>
      <c r="B232" s="441" t="s">
        <v>5</v>
      </c>
      <c r="C232" s="123" t="s">
        <v>400</v>
      </c>
      <c r="D232" s="401" t="s">
        <v>3</v>
      </c>
      <c r="E232" s="401" t="s">
        <v>3</v>
      </c>
      <c r="F232" s="402" t="s">
        <v>401</v>
      </c>
      <c r="G232" s="382">
        <f>SUM(G233:G234)</f>
        <v>0</v>
      </c>
      <c r="H232" s="382">
        <f>SUM(H233:H234)</f>
        <v>6365.370000000001</v>
      </c>
      <c r="I232" s="382">
        <f>SUM(I233:I234)</f>
        <v>0</v>
      </c>
      <c r="J232" s="382">
        <f>SUM(J233:J234)</f>
        <v>6365.370000000001</v>
      </c>
    </row>
    <row r="233" spans="1:10" ht="12.75" customHeight="1">
      <c r="A233" s="540"/>
      <c r="B233" s="403"/>
      <c r="C233" s="404"/>
      <c r="D233" s="405">
        <v>2212</v>
      </c>
      <c r="E233" s="445">
        <v>5171</v>
      </c>
      <c r="F233" s="494" t="s">
        <v>275</v>
      </c>
      <c r="G233" s="2">
        <v>0</v>
      </c>
      <c r="H233" s="272">
        <v>954.806</v>
      </c>
      <c r="I233" s="272"/>
      <c r="J233" s="2">
        <f>H233+I233</f>
        <v>954.806</v>
      </c>
    </row>
    <row r="234" spans="1:10" ht="12.75" customHeight="1" thickBot="1">
      <c r="A234" s="540"/>
      <c r="B234" s="469"/>
      <c r="C234" s="450" t="s">
        <v>266</v>
      </c>
      <c r="D234" s="396">
        <v>2212</v>
      </c>
      <c r="E234" s="397">
        <v>5171</v>
      </c>
      <c r="F234" s="470" t="s">
        <v>275</v>
      </c>
      <c r="G234" s="318">
        <v>0</v>
      </c>
      <c r="H234" s="1">
        <v>5410.564</v>
      </c>
      <c r="I234" s="1"/>
      <c r="J234" s="318">
        <f>H234+I234</f>
        <v>5410.564</v>
      </c>
    </row>
    <row r="235" spans="1:10" ht="12.75" customHeight="1">
      <c r="A235" s="540"/>
      <c r="B235" s="441" t="s">
        <v>5</v>
      </c>
      <c r="C235" s="123" t="s">
        <v>402</v>
      </c>
      <c r="D235" s="401" t="s">
        <v>3</v>
      </c>
      <c r="E235" s="401" t="s">
        <v>3</v>
      </c>
      <c r="F235" s="402" t="s">
        <v>403</v>
      </c>
      <c r="G235" s="382">
        <f>SUM(G236:G237)</f>
        <v>0</v>
      </c>
      <c r="H235" s="382">
        <f>SUM(H236:H237)</f>
        <v>907.9580000000001</v>
      </c>
      <c r="I235" s="382">
        <f>SUM(I236:I237)</f>
        <v>0</v>
      </c>
      <c r="J235" s="382">
        <f>SUM(J236:J237)</f>
        <v>907.9580000000001</v>
      </c>
    </row>
    <row r="236" spans="1:10" ht="12.75" customHeight="1">
      <c r="A236" s="540"/>
      <c r="B236" s="403"/>
      <c r="C236" s="404"/>
      <c r="D236" s="476">
        <v>2212</v>
      </c>
      <c r="E236" s="405">
        <v>6121</v>
      </c>
      <c r="F236" s="337" t="s">
        <v>197</v>
      </c>
      <c r="G236" s="2">
        <v>0</v>
      </c>
      <c r="H236" s="2">
        <f>23.595+56.87+124.124</f>
        <v>204.589</v>
      </c>
      <c r="I236" s="2"/>
      <c r="J236" s="2">
        <f>H236+I236</f>
        <v>204.589</v>
      </c>
    </row>
    <row r="237" spans="1:10" ht="12.75" customHeight="1" thickBot="1">
      <c r="A237" s="540"/>
      <c r="B237" s="469"/>
      <c r="C237" s="497" t="s">
        <v>319</v>
      </c>
      <c r="D237" s="416">
        <v>2212</v>
      </c>
      <c r="E237" s="421">
        <v>6121</v>
      </c>
      <c r="F237" s="503" t="s">
        <v>197</v>
      </c>
      <c r="G237" s="318">
        <v>0</v>
      </c>
      <c r="H237" s="318">
        <v>703.369</v>
      </c>
      <c r="I237" s="318"/>
      <c r="J237" s="318">
        <f>H237+I237</f>
        <v>703.369</v>
      </c>
    </row>
    <row r="238" spans="1:10" ht="12.75" customHeight="1">
      <c r="A238" s="540"/>
      <c r="B238" s="441" t="s">
        <v>5</v>
      </c>
      <c r="C238" s="123" t="s">
        <v>404</v>
      </c>
      <c r="D238" s="401" t="s">
        <v>3</v>
      </c>
      <c r="E238" s="401" t="s">
        <v>3</v>
      </c>
      <c r="F238" s="402" t="s">
        <v>405</v>
      </c>
      <c r="G238" s="382">
        <f>SUM(G239:G240)</f>
        <v>0</v>
      </c>
      <c r="H238" s="382">
        <f>SUM(H239:H240)</f>
        <v>3598.558</v>
      </c>
      <c r="I238" s="382">
        <f>SUM(I239:I240)</f>
        <v>0</v>
      </c>
      <c r="J238" s="382">
        <f>SUM(J239:J240)</f>
        <v>3598.558</v>
      </c>
    </row>
    <row r="239" spans="1:10" ht="12.75" customHeight="1">
      <c r="A239" s="540"/>
      <c r="B239" s="403"/>
      <c r="C239" s="404"/>
      <c r="D239" s="405">
        <v>2212</v>
      </c>
      <c r="E239" s="445">
        <v>5171</v>
      </c>
      <c r="F239" s="494" t="s">
        <v>275</v>
      </c>
      <c r="G239" s="2">
        <v>0</v>
      </c>
      <c r="H239" s="272">
        <v>539.784</v>
      </c>
      <c r="I239" s="272"/>
      <c r="J239" s="2">
        <f>H239+I239</f>
        <v>539.784</v>
      </c>
    </row>
    <row r="240" spans="1:10" ht="12.75" customHeight="1" thickBot="1">
      <c r="A240" s="540"/>
      <c r="B240" s="469"/>
      <c r="C240" s="450" t="s">
        <v>266</v>
      </c>
      <c r="D240" s="396">
        <v>2212</v>
      </c>
      <c r="E240" s="397">
        <v>5171</v>
      </c>
      <c r="F240" s="470" t="s">
        <v>275</v>
      </c>
      <c r="G240" s="318">
        <v>0</v>
      </c>
      <c r="H240" s="1">
        <v>3058.774</v>
      </c>
      <c r="I240" s="1"/>
      <c r="J240" s="318">
        <f>H240+I240</f>
        <v>3058.774</v>
      </c>
    </row>
    <row r="241" spans="1:10" ht="12.75" customHeight="1">
      <c r="A241" s="540"/>
      <c r="B241" s="441" t="s">
        <v>5</v>
      </c>
      <c r="C241" s="123" t="s">
        <v>406</v>
      </c>
      <c r="D241" s="124" t="s">
        <v>3</v>
      </c>
      <c r="E241" s="124" t="s">
        <v>3</v>
      </c>
      <c r="F241" s="177" t="s">
        <v>407</v>
      </c>
      <c r="G241" s="382">
        <f>SUM(G242:G244)</f>
        <v>0</v>
      </c>
      <c r="H241" s="382">
        <f>SUM(H242:H244)</f>
        <v>2368.687</v>
      </c>
      <c r="I241" s="382">
        <f>SUM(I242:I244)</f>
        <v>0</v>
      </c>
      <c r="J241" s="382">
        <f>SUM(J242:J244)</f>
        <v>2368.687</v>
      </c>
    </row>
    <row r="242" spans="1:10" ht="12.75" customHeight="1">
      <c r="A242" s="540"/>
      <c r="B242" s="474"/>
      <c r="C242" s="404"/>
      <c r="D242" s="476">
        <v>2212</v>
      </c>
      <c r="E242" s="476">
        <v>5169</v>
      </c>
      <c r="F242" s="486" t="s">
        <v>65</v>
      </c>
      <c r="G242" s="42">
        <v>0</v>
      </c>
      <c r="H242" s="2">
        <f>35+62.92</f>
        <v>97.92</v>
      </c>
      <c r="I242" s="2"/>
      <c r="J242" s="2">
        <f>H242+I242</f>
        <v>97.92</v>
      </c>
    </row>
    <row r="243" spans="1:10" ht="12.75" customHeight="1">
      <c r="A243" s="540"/>
      <c r="B243" s="499"/>
      <c r="C243" s="409"/>
      <c r="D243" s="500">
        <v>2212</v>
      </c>
      <c r="E243" s="501">
        <v>5171</v>
      </c>
      <c r="F243" s="502" t="s">
        <v>275</v>
      </c>
      <c r="G243" s="272">
        <v>0</v>
      </c>
      <c r="H243" s="272">
        <v>340.615</v>
      </c>
      <c r="I243" s="272"/>
      <c r="J243" s="272">
        <f>H243+I243</f>
        <v>340.615</v>
      </c>
    </row>
    <row r="244" spans="1:10" ht="12.75" customHeight="1" thickBot="1">
      <c r="A244" s="540"/>
      <c r="B244" s="469"/>
      <c r="C244" s="450" t="s">
        <v>266</v>
      </c>
      <c r="D244" s="396">
        <v>2212</v>
      </c>
      <c r="E244" s="397">
        <v>5171</v>
      </c>
      <c r="F244" s="470" t="s">
        <v>275</v>
      </c>
      <c r="G244" s="318">
        <v>0</v>
      </c>
      <c r="H244" s="1">
        <v>1930.152</v>
      </c>
      <c r="I244" s="1"/>
      <c r="J244" s="318">
        <f>H244+I244</f>
        <v>1930.152</v>
      </c>
    </row>
    <row r="245" spans="1:10" ht="12.75" customHeight="1">
      <c r="A245" s="540"/>
      <c r="B245" s="441" t="s">
        <v>5</v>
      </c>
      <c r="C245" s="123" t="s">
        <v>408</v>
      </c>
      <c r="D245" s="401" t="s">
        <v>3</v>
      </c>
      <c r="E245" s="401" t="s">
        <v>3</v>
      </c>
      <c r="F245" s="402" t="s">
        <v>409</v>
      </c>
      <c r="G245" s="382">
        <f>SUM(G246:G247)</f>
        <v>0</v>
      </c>
      <c r="H245" s="382">
        <f>SUM(H246:H247)</f>
        <v>4024.6409999999996</v>
      </c>
      <c r="I245" s="382">
        <f>SUM(I246:I247)</f>
        <v>0</v>
      </c>
      <c r="J245" s="382">
        <f>SUM(J246:J247)</f>
        <v>4024.6409999999996</v>
      </c>
    </row>
    <row r="246" spans="1:10" ht="12.75" customHeight="1">
      <c r="A246" s="540"/>
      <c r="B246" s="403"/>
      <c r="C246" s="404"/>
      <c r="D246" s="476">
        <v>2212</v>
      </c>
      <c r="E246" s="405">
        <v>6121</v>
      </c>
      <c r="F246" s="337" t="s">
        <v>197</v>
      </c>
      <c r="G246" s="2">
        <v>0</v>
      </c>
      <c r="H246" s="2">
        <f>36.179+78.65+586.472-390.981</f>
        <v>310.31999999999994</v>
      </c>
      <c r="I246" s="2"/>
      <c r="J246" s="2">
        <f>H246+I246</f>
        <v>310.31999999999994</v>
      </c>
    </row>
    <row r="247" spans="1:10" ht="12.75" customHeight="1" thickBot="1">
      <c r="A247" s="540"/>
      <c r="B247" s="469"/>
      <c r="C247" s="497" t="s">
        <v>319</v>
      </c>
      <c r="D247" s="416">
        <v>2212</v>
      </c>
      <c r="E247" s="421">
        <v>6121</v>
      </c>
      <c r="F247" s="503" t="s">
        <v>197</v>
      </c>
      <c r="G247" s="318">
        <v>0</v>
      </c>
      <c r="H247" s="318">
        <f>3323.34+390.981</f>
        <v>3714.321</v>
      </c>
      <c r="I247" s="318"/>
      <c r="J247" s="318">
        <f>H247+I247</f>
        <v>3714.321</v>
      </c>
    </row>
    <row r="248" spans="1:10" ht="12.75" customHeight="1">
      <c r="A248" s="540"/>
      <c r="B248" s="441" t="s">
        <v>5</v>
      </c>
      <c r="C248" s="123" t="s">
        <v>410</v>
      </c>
      <c r="D248" s="124" t="s">
        <v>3</v>
      </c>
      <c r="E248" s="124" t="s">
        <v>3</v>
      </c>
      <c r="F248" s="177" t="s">
        <v>411</v>
      </c>
      <c r="G248" s="382">
        <f>SUM(G249:G250)</f>
        <v>0</v>
      </c>
      <c r="H248" s="382">
        <f>SUM(H249:H250)</f>
        <v>6630.279</v>
      </c>
      <c r="I248" s="382">
        <f>SUM(I249:I250)</f>
        <v>0</v>
      </c>
      <c r="J248" s="382">
        <f>SUM(J249:J250)</f>
        <v>6630.279</v>
      </c>
    </row>
    <row r="249" spans="1:10" ht="12.75" customHeight="1">
      <c r="A249" s="540"/>
      <c r="B249" s="474"/>
      <c r="C249" s="404"/>
      <c r="D249" s="476">
        <v>2212</v>
      </c>
      <c r="E249" s="405">
        <v>6121</v>
      </c>
      <c r="F249" s="337" t="s">
        <v>197</v>
      </c>
      <c r="G249" s="42">
        <v>0</v>
      </c>
      <c r="H249" s="2">
        <f>23.958+76.23+1064.674</f>
        <v>1164.862</v>
      </c>
      <c r="I249" s="2"/>
      <c r="J249" s="2">
        <f>H249+I249</f>
        <v>1164.862</v>
      </c>
    </row>
    <row r="250" spans="1:10" ht="12.75" customHeight="1" thickBot="1">
      <c r="A250" s="540"/>
      <c r="B250" s="508"/>
      <c r="C250" s="509" t="s">
        <v>319</v>
      </c>
      <c r="D250" s="416">
        <v>2212</v>
      </c>
      <c r="E250" s="421">
        <v>6121</v>
      </c>
      <c r="F250" s="503" t="s">
        <v>197</v>
      </c>
      <c r="G250" s="1">
        <v>0</v>
      </c>
      <c r="H250" s="1">
        <v>5465.417</v>
      </c>
      <c r="I250" s="1"/>
      <c r="J250" s="1">
        <f>H250+I250</f>
        <v>5465.417</v>
      </c>
    </row>
    <row r="251" spans="1:10" ht="12.75" customHeight="1">
      <c r="A251" s="540"/>
      <c r="B251" s="441" t="s">
        <v>5</v>
      </c>
      <c r="C251" s="123" t="s">
        <v>412</v>
      </c>
      <c r="D251" s="124" t="s">
        <v>3</v>
      </c>
      <c r="E251" s="124" t="s">
        <v>3</v>
      </c>
      <c r="F251" s="177" t="s">
        <v>413</v>
      </c>
      <c r="G251" s="382">
        <f>SUM(G252:G253)</f>
        <v>0</v>
      </c>
      <c r="H251" s="382">
        <f>SUM(H252:H253)</f>
        <v>1999.768</v>
      </c>
      <c r="I251" s="382">
        <f>SUM(I252:I253)</f>
        <v>0</v>
      </c>
      <c r="J251" s="382">
        <f>SUM(J252:J253)</f>
        <v>1999.768</v>
      </c>
    </row>
    <row r="252" spans="1:10" ht="12.75" customHeight="1">
      <c r="A252" s="540"/>
      <c r="B252" s="403"/>
      <c r="C252" s="404"/>
      <c r="D252" s="476">
        <v>2212</v>
      </c>
      <c r="E252" s="405">
        <v>6121</v>
      </c>
      <c r="F252" s="337" t="s">
        <v>197</v>
      </c>
      <c r="G252" s="2">
        <v>0</v>
      </c>
      <c r="H252" s="2">
        <f>27.83+44.77+289.076</f>
        <v>361.67600000000004</v>
      </c>
      <c r="I252" s="2"/>
      <c r="J252" s="2">
        <f>H252+I252</f>
        <v>361.67600000000004</v>
      </c>
    </row>
    <row r="253" spans="1:10" ht="12.75" customHeight="1" thickBot="1">
      <c r="A253" s="540"/>
      <c r="B253" s="469"/>
      <c r="C253" s="497" t="s">
        <v>319</v>
      </c>
      <c r="D253" s="416">
        <v>2212</v>
      </c>
      <c r="E253" s="421">
        <v>6121</v>
      </c>
      <c r="F253" s="503" t="s">
        <v>197</v>
      </c>
      <c r="G253" s="318">
        <v>0</v>
      </c>
      <c r="H253" s="318">
        <v>1638.092</v>
      </c>
      <c r="I253" s="318"/>
      <c r="J253" s="318">
        <f>H253+I253</f>
        <v>1638.092</v>
      </c>
    </row>
    <row r="254" spans="1:10" ht="12.75" customHeight="1">
      <c r="A254" s="540"/>
      <c r="B254" s="441" t="s">
        <v>5</v>
      </c>
      <c r="C254" s="123" t="s">
        <v>414</v>
      </c>
      <c r="D254" s="124" t="s">
        <v>3</v>
      </c>
      <c r="E254" s="124" t="s">
        <v>3</v>
      </c>
      <c r="F254" s="177" t="s">
        <v>415</v>
      </c>
      <c r="G254" s="382">
        <f>SUM(G255:G256)</f>
        <v>0</v>
      </c>
      <c r="H254" s="382">
        <f>SUM(H255:H256)</f>
        <v>8089.919000000001</v>
      </c>
      <c r="I254" s="382">
        <f>SUM(I255:I256)</f>
        <v>0</v>
      </c>
      <c r="J254" s="382">
        <f>SUM(J255:J256)</f>
        <v>8089.919000000001</v>
      </c>
    </row>
    <row r="255" spans="1:10" ht="12.75" customHeight="1">
      <c r="A255" s="540"/>
      <c r="B255" s="403"/>
      <c r="C255" s="404"/>
      <c r="D255" s="476">
        <v>2212</v>
      </c>
      <c r="E255" s="405">
        <v>6121</v>
      </c>
      <c r="F255" s="337" t="s">
        <v>197</v>
      </c>
      <c r="G255" s="2">
        <v>0</v>
      </c>
      <c r="H255" s="2">
        <f>32.5+72.6+399.241</f>
        <v>504.341</v>
      </c>
      <c r="I255" s="2"/>
      <c r="J255" s="2">
        <f>H255+I255</f>
        <v>504.341</v>
      </c>
    </row>
    <row r="256" spans="1:10" ht="12.75" customHeight="1" thickBot="1">
      <c r="A256" s="540"/>
      <c r="B256" s="469"/>
      <c r="C256" s="497" t="s">
        <v>319</v>
      </c>
      <c r="D256" s="416">
        <v>2212</v>
      </c>
      <c r="E256" s="421">
        <v>6121</v>
      </c>
      <c r="F256" s="503" t="s">
        <v>197</v>
      </c>
      <c r="G256" s="318">
        <v>0</v>
      </c>
      <c r="H256" s="318">
        <v>7585.578</v>
      </c>
      <c r="I256" s="318"/>
      <c r="J256" s="318">
        <f>H256+I256</f>
        <v>7585.578</v>
      </c>
    </row>
    <row r="257" spans="1:10" ht="12.75" customHeight="1">
      <c r="A257" s="540"/>
      <c r="B257" s="441" t="s">
        <v>5</v>
      </c>
      <c r="C257" s="123" t="s">
        <v>416</v>
      </c>
      <c r="D257" s="124" t="s">
        <v>3</v>
      </c>
      <c r="E257" s="124" t="s">
        <v>3</v>
      </c>
      <c r="F257" s="177" t="s">
        <v>417</v>
      </c>
      <c r="G257" s="382">
        <f>SUM(G258:G259)</f>
        <v>0</v>
      </c>
      <c r="H257" s="382">
        <f>SUM(H258:H259)</f>
        <v>1993.722</v>
      </c>
      <c r="I257" s="382">
        <f>SUM(I258:I259)</f>
        <v>0</v>
      </c>
      <c r="J257" s="382">
        <f>SUM(J258:J259)</f>
        <v>1993.722</v>
      </c>
    </row>
    <row r="258" spans="1:10" ht="12.75" customHeight="1">
      <c r="A258" s="540"/>
      <c r="B258" s="403"/>
      <c r="C258" s="404"/>
      <c r="D258" s="476">
        <v>2212</v>
      </c>
      <c r="E258" s="405">
        <v>6121</v>
      </c>
      <c r="F258" s="337" t="s">
        <v>197</v>
      </c>
      <c r="G258" s="2">
        <v>0</v>
      </c>
      <c r="H258" s="2">
        <f>14.5+36.3+291.439</f>
        <v>342.23900000000003</v>
      </c>
      <c r="I258" s="2"/>
      <c r="J258" s="2">
        <f>H258+I258</f>
        <v>342.23900000000003</v>
      </c>
    </row>
    <row r="259" spans="1:10" ht="12.75" customHeight="1" thickBot="1">
      <c r="A259" s="540"/>
      <c r="B259" s="469"/>
      <c r="C259" s="497" t="s">
        <v>319</v>
      </c>
      <c r="D259" s="416">
        <v>2212</v>
      </c>
      <c r="E259" s="421">
        <v>6121</v>
      </c>
      <c r="F259" s="503" t="s">
        <v>197</v>
      </c>
      <c r="G259" s="318">
        <v>0</v>
      </c>
      <c r="H259" s="318">
        <v>1651.483</v>
      </c>
      <c r="I259" s="318"/>
      <c r="J259" s="318">
        <f>H259+I259</f>
        <v>1651.483</v>
      </c>
    </row>
    <row r="260" spans="1:10" ht="12.75" customHeight="1">
      <c r="A260" s="540"/>
      <c r="B260" s="441" t="s">
        <v>5</v>
      </c>
      <c r="C260" s="123" t="s">
        <v>418</v>
      </c>
      <c r="D260" s="124" t="s">
        <v>3</v>
      </c>
      <c r="E260" s="124" t="s">
        <v>3</v>
      </c>
      <c r="F260" s="177" t="s">
        <v>419</v>
      </c>
      <c r="G260" s="126">
        <f>SUM(G261:G261)</f>
        <v>0</v>
      </c>
      <c r="H260" s="382">
        <f>SUM(H261:H261)</f>
        <v>13.5</v>
      </c>
      <c r="I260" s="382">
        <f>SUM(I261:I261)</f>
        <v>0</v>
      </c>
      <c r="J260" s="126">
        <f>SUM(J261:J261)</f>
        <v>13.5</v>
      </c>
    </row>
    <row r="261" spans="1:10" ht="12.75" customHeight="1" thickBot="1">
      <c r="A261" s="540"/>
      <c r="B261" s="481"/>
      <c r="C261" s="463"/>
      <c r="D261" s="416">
        <v>2212</v>
      </c>
      <c r="E261" s="416">
        <v>5169</v>
      </c>
      <c r="F261" s="490" t="s">
        <v>65</v>
      </c>
      <c r="G261" s="119">
        <v>0</v>
      </c>
      <c r="H261" s="1">
        <v>13.5</v>
      </c>
      <c r="I261" s="1"/>
      <c r="J261" s="1">
        <f>H261+I261</f>
        <v>13.5</v>
      </c>
    </row>
    <row r="262" spans="1:10" ht="12.75" customHeight="1">
      <c r="A262" s="540"/>
      <c r="B262" s="441" t="s">
        <v>5</v>
      </c>
      <c r="C262" s="123" t="s">
        <v>420</v>
      </c>
      <c r="D262" s="124" t="s">
        <v>3</v>
      </c>
      <c r="E262" s="124" t="s">
        <v>3</v>
      </c>
      <c r="F262" s="177" t="s">
        <v>421</v>
      </c>
      <c r="G262" s="126">
        <f>SUM(G263:G263)</f>
        <v>0</v>
      </c>
      <c r="H262" s="382">
        <f>SUM(H263:H263)</f>
        <v>56.469</v>
      </c>
      <c r="I262" s="382">
        <f>SUM(I263:I263)</f>
        <v>0</v>
      </c>
      <c r="J262" s="126">
        <f>SUM(J263:J263)</f>
        <v>56.469</v>
      </c>
    </row>
    <row r="263" spans="1:10" ht="13.5" thickBot="1">
      <c r="A263" s="540"/>
      <c r="B263" s="487"/>
      <c r="C263" s="505"/>
      <c r="D263" s="416">
        <v>2212</v>
      </c>
      <c r="E263" s="416">
        <v>6121</v>
      </c>
      <c r="F263" s="503" t="s">
        <v>197</v>
      </c>
      <c r="G263" s="119">
        <v>0</v>
      </c>
      <c r="H263" s="1">
        <f>21.5+34.969</f>
        <v>56.469</v>
      </c>
      <c r="I263" s="1"/>
      <c r="J263" s="1">
        <f>H263+I263</f>
        <v>56.469</v>
      </c>
    </row>
    <row r="264" spans="1:10" ht="12.75">
      <c r="A264" s="540"/>
      <c r="B264" s="441" t="s">
        <v>5</v>
      </c>
      <c r="C264" s="123" t="s">
        <v>422</v>
      </c>
      <c r="D264" s="124" t="s">
        <v>3</v>
      </c>
      <c r="E264" s="124" t="s">
        <v>3</v>
      </c>
      <c r="F264" s="177" t="s">
        <v>423</v>
      </c>
      <c r="G264" s="382">
        <f>SUM(G265:G266)</f>
        <v>0</v>
      </c>
      <c r="H264" s="382">
        <f>SUM(H265:H266)</f>
        <v>1931.019</v>
      </c>
      <c r="I264" s="382">
        <f>SUM(I265:I266)</f>
        <v>0</v>
      </c>
      <c r="J264" s="382">
        <f>SUM(J265:J266)</f>
        <v>1931.019</v>
      </c>
    </row>
    <row r="265" spans="1:10" ht="12.75">
      <c r="A265" s="540"/>
      <c r="B265" s="474"/>
      <c r="C265" s="475"/>
      <c r="D265" s="476">
        <v>2212</v>
      </c>
      <c r="E265" s="476">
        <v>6121</v>
      </c>
      <c r="F265" s="337" t="s">
        <v>197</v>
      </c>
      <c r="G265" s="42">
        <v>0</v>
      </c>
      <c r="H265" s="2">
        <f>27.83+33.638+280.433</f>
        <v>341.901</v>
      </c>
      <c r="I265" s="2"/>
      <c r="J265" s="2">
        <f>H265+I265</f>
        <v>341.901</v>
      </c>
    </row>
    <row r="266" spans="1:10" ht="12.75" customHeight="1" thickBot="1">
      <c r="A266" s="540"/>
      <c r="B266" s="469"/>
      <c r="C266" s="497" t="s">
        <v>319</v>
      </c>
      <c r="D266" s="415">
        <v>2212</v>
      </c>
      <c r="E266" s="396">
        <v>6121</v>
      </c>
      <c r="F266" s="254" t="s">
        <v>197</v>
      </c>
      <c r="G266" s="318">
        <v>0</v>
      </c>
      <c r="H266" s="318">
        <v>1589.118</v>
      </c>
      <c r="I266" s="318"/>
      <c r="J266" s="318">
        <f>H266+I266</f>
        <v>1589.118</v>
      </c>
    </row>
    <row r="267" spans="1:10" ht="12.75">
      <c r="A267" s="540"/>
      <c r="B267" s="441" t="s">
        <v>5</v>
      </c>
      <c r="C267" s="123" t="s">
        <v>424</v>
      </c>
      <c r="D267" s="124" t="s">
        <v>3</v>
      </c>
      <c r="E267" s="124" t="s">
        <v>3</v>
      </c>
      <c r="F267" s="177" t="s">
        <v>425</v>
      </c>
      <c r="G267" s="382">
        <f>SUM(G268:G269)</f>
        <v>0</v>
      </c>
      <c r="H267" s="382">
        <f>SUM(H268:H269)</f>
        <v>2533.938</v>
      </c>
      <c r="I267" s="382">
        <f>SUM(I268:I269)</f>
        <v>0</v>
      </c>
      <c r="J267" s="382">
        <f>SUM(J268:J269)</f>
        <v>2533.938</v>
      </c>
    </row>
    <row r="268" spans="1:10" ht="12.75">
      <c r="A268" s="540"/>
      <c r="B268" s="403"/>
      <c r="C268" s="404"/>
      <c r="D268" s="405">
        <v>2212</v>
      </c>
      <c r="E268" s="445">
        <v>5171</v>
      </c>
      <c r="F268" s="494" t="s">
        <v>275</v>
      </c>
      <c r="G268" s="2">
        <v>0</v>
      </c>
      <c r="H268" s="272">
        <v>380.091</v>
      </c>
      <c r="I268" s="272"/>
      <c r="J268" s="2">
        <f>H268+I268</f>
        <v>380.091</v>
      </c>
    </row>
    <row r="269" spans="1:10" ht="13.5" thickBot="1">
      <c r="A269" s="540"/>
      <c r="B269" s="469"/>
      <c r="C269" s="450" t="s">
        <v>266</v>
      </c>
      <c r="D269" s="396">
        <v>2212</v>
      </c>
      <c r="E269" s="397">
        <v>5171</v>
      </c>
      <c r="F269" s="470" t="s">
        <v>275</v>
      </c>
      <c r="G269" s="318">
        <v>0</v>
      </c>
      <c r="H269" s="1">
        <v>2153.847</v>
      </c>
      <c r="I269" s="1"/>
      <c r="J269" s="318">
        <f>H269+I269</f>
        <v>2153.847</v>
      </c>
    </row>
    <row r="270" spans="1:10" ht="12.75">
      <c r="A270" s="540"/>
      <c r="B270" s="441" t="s">
        <v>5</v>
      </c>
      <c r="C270" s="123" t="s">
        <v>426</v>
      </c>
      <c r="D270" s="124" t="s">
        <v>3</v>
      </c>
      <c r="E270" s="124" t="s">
        <v>3</v>
      </c>
      <c r="F270" s="177" t="s">
        <v>427</v>
      </c>
      <c r="G270" s="382">
        <f>SUM(G271:G272)</f>
        <v>0</v>
      </c>
      <c r="H270" s="382">
        <f>SUM(H271:H272)</f>
        <v>5988.272</v>
      </c>
      <c r="I270" s="382">
        <f>SUM(I271:I272)</f>
        <v>0</v>
      </c>
      <c r="J270" s="382">
        <f>SUM(J271:J272)</f>
        <v>5988.272</v>
      </c>
    </row>
    <row r="271" spans="1:10" ht="12.75">
      <c r="A271" s="540"/>
      <c r="B271" s="403"/>
      <c r="C271" s="404"/>
      <c r="D271" s="405">
        <v>2212</v>
      </c>
      <c r="E271" s="445">
        <v>5171</v>
      </c>
      <c r="F271" s="494" t="s">
        <v>275</v>
      </c>
      <c r="G271" s="2">
        <v>0</v>
      </c>
      <c r="H271" s="272">
        <v>898.241</v>
      </c>
      <c r="I271" s="272"/>
      <c r="J271" s="2">
        <f>H271+I271</f>
        <v>898.241</v>
      </c>
    </row>
    <row r="272" spans="1:10" ht="13.5" thickBot="1">
      <c r="A272" s="540"/>
      <c r="B272" s="469"/>
      <c r="C272" s="450" t="s">
        <v>266</v>
      </c>
      <c r="D272" s="396">
        <v>2212</v>
      </c>
      <c r="E272" s="397">
        <v>5171</v>
      </c>
      <c r="F272" s="470" t="s">
        <v>275</v>
      </c>
      <c r="G272" s="318">
        <v>0</v>
      </c>
      <c r="H272" s="1">
        <v>5090.031</v>
      </c>
      <c r="I272" s="1"/>
      <c r="J272" s="318">
        <f>H272+I272</f>
        <v>5090.031</v>
      </c>
    </row>
    <row r="273" spans="1:10" ht="12.75">
      <c r="A273" s="540"/>
      <c r="B273" s="441" t="s">
        <v>5</v>
      </c>
      <c r="C273" s="123" t="s">
        <v>428</v>
      </c>
      <c r="D273" s="124" t="s">
        <v>3</v>
      </c>
      <c r="E273" s="124" t="s">
        <v>3</v>
      </c>
      <c r="F273" s="177" t="s">
        <v>429</v>
      </c>
      <c r="G273" s="382">
        <f>SUM(G274:G275)</f>
        <v>0</v>
      </c>
      <c r="H273" s="382">
        <f>SUM(H274:H275)</f>
        <v>6747.42</v>
      </c>
      <c r="I273" s="382">
        <f>SUM(I274:I275)</f>
        <v>0</v>
      </c>
      <c r="J273" s="382">
        <f>SUM(J274:J275)</f>
        <v>6747.42</v>
      </c>
    </row>
    <row r="274" spans="1:10" ht="12.75">
      <c r="A274" s="540"/>
      <c r="B274" s="403"/>
      <c r="C274" s="404"/>
      <c r="D274" s="405">
        <v>2212</v>
      </c>
      <c r="E274" s="445">
        <v>5171</v>
      </c>
      <c r="F274" s="494" t="s">
        <v>275</v>
      </c>
      <c r="G274" s="2">
        <v>0</v>
      </c>
      <c r="H274" s="272">
        <v>6747.42</v>
      </c>
      <c r="I274" s="272"/>
      <c r="J274" s="2">
        <f>H274+I274</f>
        <v>6747.42</v>
      </c>
    </row>
    <row r="275" spans="1:10" ht="13.5" thickBot="1">
      <c r="A275" s="541"/>
      <c r="B275" s="469"/>
      <c r="C275" s="450" t="s">
        <v>266</v>
      </c>
      <c r="D275" s="396">
        <v>2212</v>
      </c>
      <c r="E275" s="397">
        <v>5171</v>
      </c>
      <c r="F275" s="470" t="s">
        <v>275</v>
      </c>
      <c r="G275" s="318">
        <v>0</v>
      </c>
      <c r="H275" s="318">
        <v>0</v>
      </c>
      <c r="I275" s="1"/>
      <c r="J275" s="318">
        <f>H275+I275</f>
        <v>0</v>
      </c>
    </row>
  </sheetData>
  <sheetProtection/>
  <mergeCells count="13">
    <mergeCell ref="E7:E8"/>
    <mergeCell ref="F7:F8"/>
    <mergeCell ref="G7:G8"/>
    <mergeCell ref="H7:H8"/>
    <mergeCell ref="I7:J7"/>
    <mergeCell ref="A10:A275"/>
    <mergeCell ref="A1:J1"/>
    <mergeCell ref="A3:J3"/>
    <mergeCell ref="A5:J5"/>
    <mergeCell ref="A7:A8"/>
    <mergeCell ref="B7:B8"/>
    <mergeCell ref="C7:C8"/>
    <mergeCell ref="D7:D8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paperSize="9" scale="95" r:id="rId1"/>
  <headerFooter>
    <oddHeader>&amp;R&amp;F</oddHeader>
    <oddFooter>&amp;C&amp;A</oddFooter>
  </headerFooter>
  <rowBreaks count="2" manualBreakCount="2">
    <brk id="59" max="255" man="1"/>
    <brk id="18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1"/>
  <sheetViews>
    <sheetView zoomScalePageLayoutView="0" workbookViewId="0" topLeftCell="A1">
      <pane xSplit="1" ySplit="9" topLeftCell="B8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86" sqref="G86"/>
    </sheetView>
  </sheetViews>
  <sheetFormatPr defaultColWidth="9.140625" defaultRowHeight="12.75"/>
  <cols>
    <col min="1" max="1" width="3.57421875" style="216" customWidth="1"/>
    <col min="2" max="2" width="3.00390625" style="216" customWidth="1"/>
    <col min="3" max="3" width="9.140625" style="216" customWidth="1"/>
    <col min="4" max="4" width="4.28125" style="216" customWidth="1"/>
    <col min="5" max="5" width="5.28125" style="216" customWidth="1"/>
    <col min="6" max="6" width="7.8515625" style="216" bestFit="1" customWidth="1"/>
    <col min="7" max="7" width="42.140625" style="216" customWidth="1"/>
    <col min="8" max="11" width="8.7109375" style="216" customWidth="1"/>
    <col min="12" max="16384" width="9.140625" style="216" customWidth="1"/>
  </cols>
  <sheetData>
    <row r="1" spans="1:11" s="215" customFormat="1" ht="17.25">
      <c r="A1" s="542" t="s">
        <v>431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</row>
    <row r="2" spans="1:11" s="217" customFormat="1" ht="12.75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s="217" customFormat="1" ht="15.75" customHeight="1">
      <c r="A3" s="561" t="s">
        <v>176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</row>
    <row r="4" spans="1:11" ht="12.75">
      <c r="A4" s="218"/>
      <c r="B4" s="219"/>
      <c r="C4" s="220"/>
      <c r="D4" s="219"/>
      <c r="E4" s="219"/>
      <c r="F4" s="221"/>
      <c r="G4" s="222"/>
      <c r="H4" s="223"/>
      <c r="I4" s="223"/>
      <c r="J4" s="223"/>
      <c r="K4" s="224"/>
    </row>
    <row r="5" spans="1:11" ht="12.75" customHeight="1">
      <c r="A5" s="544" t="s">
        <v>177</v>
      </c>
      <c r="B5" s="544"/>
      <c r="C5" s="544"/>
      <c r="D5" s="544"/>
      <c r="E5" s="544"/>
      <c r="F5" s="544"/>
      <c r="G5" s="544"/>
      <c r="H5" s="544"/>
      <c r="I5" s="544"/>
      <c r="J5" s="544"/>
      <c r="K5" s="544"/>
    </row>
    <row r="6" spans="1:11" ht="12.75" customHeight="1" thickBot="1">
      <c r="A6" s="225"/>
      <c r="B6" s="225"/>
      <c r="C6" s="225"/>
      <c r="D6" s="225"/>
      <c r="E6" s="225"/>
      <c r="F6" s="225"/>
      <c r="G6" s="225"/>
      <c r="H6" s="225"/>
      <c r="I6" s="226"/>
      <c r="K6" s="226" t="s">
        <v>79</v>
      </c>
    </row>
    <row r="7" spans="1:11" s="217" customFormat="1" ht="12.75" customHeight="1" thickBot="1">
      <c r="A7" s="562" t="s">
        <v>64</v>
      </c>
      <c r="B7" s="564" t="s">
        <v>4</v>
      </c>
      <c r="C7" s="554" t="s">
        <v>6</v>
      </c>
      <c r="D7" s="554" t="s">
        <v>7</v>
      </c>
      <c r="E7" s="554" t="s">
        <v>8</v>
      </c>
      <c r="F7" s="556" t="s">
        <v>81</v>
      </c>
      <c r="G7" s="535" t="s">
        <v>178</v>
      </c>
      <c r="H7" s="552" t="s">
        <v>70</v>
      </c>
      <c r="I7" s="535" t="s">
        <v>71</v>
      </c>
      <c r="J7" s="526" t="s">
        <v>432</v>
      </c>
      <c r="K7" s="527"/>
    </row>
    <row r="8" spans="1:11" ht="12.75" customHeight="1" thickBot="1">
      <c r="A8" s="563"/>
      <c r="B8" s="565"/>
      <c r="C8" s="555"/>
      <c r="D8" s="555"/>
      <c r="E8" s="555"/>
      <c r="F8" s="557"/>
      <c r="G8" s="536"/>
      <c r="H8" s="553"/>
      <c r="I8" s="536"/>
      <c r="J8" s="227" t="s">
        <v>26</v>
      </c>
      <c r="K8" s="228" t="s">
        <v>72</v>
      </c>
    </row>
    <row r="9" spans="1:11" s="233" customFormat="1" ht="12" customHeight="1" thickBot="1">
      <c r="A9" s="558" t="s">
        <v>58</v>
      </c>
      <c r="B9" s="229" t="s">
        <v>5</v>
      </c>
      <c r="C9" s="230" t="s">
        <v>6</v>
      </c>
      <c r="D9" s="230" t="s">
        <v>7</v>
      </c>
      <c r="E9" s="230" t="s">
        <v>8</v>
      </c>
      <c r="F9" s="231"/>
      <c r="G9" s="232" t="s">
        <v>179</v>
      </c>
      <c r="H9" s="57">
        <f>H10</f>
        <v>10000</v>
      </c>
      <c r="I9" s="57">
        <f>I10</f>
        <v>376526.87293</v>
      </c>
      <c r="J9" s="512">
        <f>J10</f>
        <v>1053.383</v>
      </c>
      <c r="K9" s="57">
        <f>K10</f>
        <v>377580.25593</v>
      </c>
    </row>
    <row r="10" spans="1:11" s="233" customFormat="1" ht="12" customHeight="1" thickBot="1">
      <c r="A10" s="559"/>
      <c r="B10" s="234" t="s">
        <v>5</v>
      </c>
      <c r="C10" s="235" t="s">
        <v>3</v>
      </c>
      <c r="D10" s="236" t="s">
        <v>3</v>
      </c>
      <c r="E10" s="237" t="s">
        <v>3</v>
      </c>
      <c r="F10" s="238"/>
      <c r="G10" s="239" t="s">
        <v>180</v>
      </c>
      <c r="H10" s="240">
        <f>H11+H13+H15+H19+H23+H28+H33+H38+H42+H47+H52+H54+H56+H58+H61+H64+H67+H70+H73+H76+H79+H82+H85+H88+H91+H93+H95+H97+H99</f>
        <v>10000</v>
      </c>
      <c r="I10" s="240">
        <f>I11+I13+I15+I19+I23+I28+I33+I38+I42+I47+I52+I54+I56+I58+I61+I64+I67+I70+I73+I76+I79+I82+I85+I88+I91+I93+I95+I97+I99</f>
        <v>376526.87293</v>
      </c>
      <c r="J10" s="513">
        <f>J11+J13+J15+J19+J23+J28+J33+J38+J42+J47+J52+J54+J56+J58+J61+J64+J67+J70+J73+J76+J79+J82+J85+J88+J91+J93+J95+J97+J99</f>
        <v>1053.383</v>
      </c>
      <c r="K10" s="241">
        <f>K11+K13+K15+K19+K23+K28+K33+K38+K42+K47+K52+K54+K56+K58+K61+K64+K67+K70+K73+K76+K79+K82+K85+K88+K91+K93+K95+K97+K99</f>
        <v>377580.25593</v>
      </c>
    </row>
    <row r="11" spans="1:11" s="233" customFormat="1" ht="12" customHeight="1">
      <c r="A11" s="559"/>
      <c r="B11" s="242" t="s">
        <v>5</v>
      </c>
      <c r="C11" s="243" t="s">
        <v>181</v>
      </c>
      <c r="D11" s="244"/>
      <c r="E11" s="245" t="s">
        <v>3</v>
      </c>
      <c r="F11" s="246"/>
      <c r="G11" s="247" t="s">
        <v>182</v>
      </c>
      <c r="H11" s="248">
        <f>SUM(H12:H12)</f>
        <v>0</v>
      </c>
      <c r="I11" s="248">
        <f>SUM(I12:I12)</f>
        <v>88.2</v>
      </c>
      <c r="J11" s="248">
        <f>SUM(J12:J12)</f>
        <v>0</v>
      </c>
      <c r="K11" s="248">
        <f>SUM(K12:K12)</f>
        <v>88.2</v>
      </c>
    </row>
    <row r="12" spans="1:11" s="233" customFormat="1" ht="12" customHeight="1" thickBot="1">
      <c r="A12" s="559"/>
      <c r="B12" s="249"/>
      <c r="C12" s="250"/>
      <c r="D12" s="251">
        <v>2212</v>
      </c>
      <c r="E12" s="252">
        <v>6129</v>
      </c>
      <c r="F12" s="253" t="s">
        <v>183</v>
      </c>
      <c r="G12" s="254" t="s">
        <v>184</v>
      </c>
      <c r="H12" s="2">
        <v>0</v>
      </c>
      <c r="I12" s="2">
        <v>88.2</v>
      </c>
      <c r="J12" s="2"/>
      <c r="K12" s="43">
        <f>I12+J12</f>
        <v>88.2</v>
      </c>
    </row>
    <row r="13" spans="1:11" s="233" customFormat="1" ht="12" customHeight="1">
      <c r="A13" s="559"/>
      <c r="B13" s="242" t="s">
        <v>5</v>
      </c>
      <c r="C13" s="243" t="s">
        <v>185</v>
      </c>
      <c r="D13" s="244"/>
      <c r="E13" s="245" t="s">
        <v>3</v>
      </c>
      <c r="F13" s="246"/>
      <c r="G13" s="255" t="s">
        <v>186</v>
      </c>
      <c r="H13" s="248">
        <f>SUM(H14:H14)</f>
        <v>0</v>
      </c>
      <c r="I13" s="248">
        <f>SUM(I14:I14)</f>
        <v>4684.865</v>
      </c>
      <c r="J13" s="248">
        <f>SUM(J14:J14)</f>
        <v>0</v>
      </c>
      <c r="K13" s="248">
        <f>SUM(K14:K14)</f>
        <v>4684.865</v>
      </c>
    </row>
    <row r="14" spans="1:11" s="233" customFormat="1" ht="12" customHeight="1" thickBot="1">
      <c r="A14" s="559"/>
      <c r="B14" s="249"/>
      <c r="C14" s="250"/>
      <c r="D14" s="251">
        <v>6402</v>
      </c>
      <c r="E14" s="252">
        <v>5368</v>
      </c>
      <c r="F14" s="256"/>
      <c r="G14" s="257" t="s">
        <v>187</v>
      </c>
      <c r="H14" s="2">
        <v>0</v>
      </c>
      <c r="I14" s="258">
        <f>4629+55.865</f>
        <v>4684.865</v>
      </c>
      <c r="J14" s="2"/>
      <c r="K14" s="43">
        <f>I14+J14</f>
        <v>4684.865</v>
      </c>
    </row>
    <row r="15" spans="1:11" s="233" customFormat="1" ht="12" customHeight="1">
      <c r="A15" s="559"/>
      <c r="B15" s="242" t="s">
        <v>5</v>
      </c>
      <c r="C15" s="243" t="s">
        <v>188</v>
      </c>
      <c r="D15" s="244"/>
      <c r="E15" s="245" t="s">
        <v>3</v>
      </c>
      <c r="F15" s="246"/>
      <c r="G15" s="255" t="s">
        <v>189</v>
      </c>
      <c r="H15" s="259">
        <f>SUM(H16:H18)</f>
        <v>0</v>
      </c>
      <c r="I15" s="248">
        <f>SUM(I16:I18)</f>
        <v>5070</v>
      </c>
      <c r="J15" s="259">
        <f>SUM(J16:J18)</f>
        <v>0</v>
      </c>
      <c r="K15" s="248">
        <f>SUM(K16:K18)</f>
        <v>5070</v>
      </c>
    </row>
    <row r="16" spans="1:11" s="233" customFormat="1" ht="12" customHeight="1">
      <c r="A16" s="559"/>
      <c r="B16" s="260"/>
      <c r="C16" s="250"/>
      <c r="D16" s="261">
        <v>2212</v>
      </c>
      <c r="E16" s="262">
        <v>6121</v>
      </c>
      <c r="F16" s="263" t="s">
        <v>183</v>
      </c>
      <c r="G16" s="257" t="s">
        <v>190</v>
      </c>
      <c r="H16" s="264">
        <v>0</v>
      </c>
      <c r="I16" s="265">
        <f>2964-78</f>
        <v>2886</v>
      </c>
      <c r="J16" s="264"/>
      <c r="K16" s="42">
        <f>I16+J16</f>
        <v>2886</v>
      </c>
    </row>
    <row r="17" spans="1:11" s="233" customFormat="1" ht="12" customHeight="1">
      <c r="A17" s="559"/>
      <c r="B17" s="266"/>
      <c r="C17" s="267" t="s">
        <v>191</v>
      </c>
      <c r="D17" s="182">
        <v>2212</v>
      </c>
      <c r="E17" s="268">
        <v>6351</v>
      </c>
      <c r="F17" s="269" t="s">
        <v>183</v>
      </c>
      <c r="G17" s="270" t="s">
        <v>192</v>
      </c>
      <c r="H17" s="186">
        <v>0</v>
      </c>
      <c r="I17" s="42">
        <v>119</v>
      </c>
      <c r="J17" s="186"/>
      <c r="K17" s="42">
        <f>I17+J17</f>
        <v>119</v>
      </c>
    </row>
    <row r="18" spans="1:11" s="233" customFormat="1" ht="12" customHeight="1" thickBot="1">
      <c r="A18" s="559"/>
      <c r="B18" s="271"/>
      <c r="C18" s="250"/>
      <c r="D18" s="251">
        <v>6402</v>
      </c>
      <c r="E18" s="252">
        <v>5368</v>
      </c>
      <c r="F18" s="256"/>
      <c r="G18" s="257" t="s">
        <v>187</v>
      </c>
      <c r="H18" s="272">
        <v>0</v>
      </c>
      <c r="I18" s="258">
        <v>2065</v>
      </c>
      <c r="J18" s="258"/>
      <c r="K18" s="43">
        <f>I18+J18</f>
        <v>2065</v>
      </c>
    </row>
    <row r="19" spans="1:11" ht="12.75">
      <c r="A19" s="559"/>
      <c r="B19" s="242" t="s">
        <v>5</v>
      </c>
      <c r="C19" s="243" t="s">
        <v>193</v>
      </c>
      <c r="D19" s="244"/>
      <c r="E19" s="245" t="s">
        <v>3</v>
      </c>
      <c r="F19" s="246"/>
      <c r="G19" s="255" t="s">
        <v>194</v>
      </c>
      <c r="H19" s="259">
        <f>SUM(H20:H22)</f>
        <v>0</v>
      </c>
      <c r="I19" s="248">
        <f>SUM(I20:I22)</f>
        <v>7831</v>
      </c>
      <c r="J19" s="259">
        <f>SUM(J20:J22)</f>
        <v>0</v>
      </c>
      <c r="K19" s="248">
        <f>SUM(K20:K22)</f>
        <v>7831</v>
      </c>
    </row>
    <row r="20" spans="1:11" ht="12.75">
      <c r="A20" s="559"/>
      <c r="B20" s="260"/>
      <c r="C20" s="250"/>
      <c r="D20" s="261">
        <v>2212</v>
      </c>
      <c r="E20" s="262">
        <v>6121</v>
      </c>
      <c r="F20" s="273">
        <v>38100000</v>
      </c>
      <c r="G20" s="257" t="s">
        <v>190</v>
      </c>
      <c r="H20" s="264">
        <v>0</v>
      </c>
      <c r="I20" s="42">
        <v>1163</v>
      </c>
      <c r="J20" s="264"/>
      <c r="K20" s="42">
        <f>I20+J20</f>
        <v>1163</v>
      </c>
    </row>
    <row r="21" spans="1:11" ht="12.75">
      <c r="A21" s="559"/>
      <c r="B21" s="271"/>
      <c r="C21" s="250"/>
      <c r="D21" s="251">
        <v>2212</v>
      </c>
      <c r="E21" s="274">
        <v>6121</v>
      </c>
      <c r="F21" s="275" t="s">
        <v>147</v>
      </c>
      <c r="G21" s="257" t="s">
        <v>190</v>
      </c>
      <c r="H21" s="276">
        <v>0</v>
      </c>
      <c r="I21" s="42">
        <v>6586</v>
      </c>
      <c r="J21" s="276"/>
      <c r="K21" s="42">
        <f>I21+J21</f>
        <v>6586</v>
      </c>
    </row>
    <row r="22" spans="1:11" ht="13.5" thickBot="1">
      <c r="A22" s="559"/>
      <c r="B22" s="277"/>
      <c r="C22" s="278" t="s">
        <v>195</v>
      </c>
      <c r="D22" s="187">
        <v>2212</v>
      </c>
      <c r="E22" s="279">
        <v>6351</v>
      </c>
      <c r="F22" s="253" t="s">
        <v>183</v>
      </c>
      <c r="G22" s="280" t="s">
        <v>192</v>
      </c>
      <c r="H22" s="281">
        <v>0</v>
      </c>
      <c r="I22" s="119">
        <v>82</v>
      </c>
      <c r="J22" s="281"/>
      <c r="K22" s="43">
        <f>I22+J22</f>
        <v>82</v>
      </c>
    </row>
    <row r="23" spans="1:11" ht="12.75">
      <c r="A23" s="559"/>
      <c r="B23" s="282" t="s">
        <v>5</v>
      </c>
      <c r="C23" s="209" t="s">
        <v>145</v>
      </c>
      <c r="D23" s="132"/>
      <c r="E23" s="283" t="s">
        <v>3</v>
      </c>
      <c r="F23" s="284"/>
      <c r="G23" s="255" t="s">
        <v>146</v>
      </c>
      <c r="H23" s="285">
        <f>SUM(H24:H27)</f>
        <v>0</v>
      </c>
      <c r="I23" s="285">
        <f>SUM(I24:I27)</f>
        <v>32641</v>
      </c>
      <c r="J23" s="285">
        <f>SUM(J24:J27)</f>
        <v>0</v>
      </c>
      <c r="K23" s="210">
        <f>SUM(K24:K27)</f>
        <v>32641</v>
      </c>
    </row>
    <row r="24" spans="1:11" ht="12.75">
      <c r="A24" s="559"/>
      <c r="B24" s="286"/>
      <c r="C24" s="287"/>
      <c r="D24" s="251">
        <v>2212</v>
      </c>
      <c r="E24" s="274">
        <v>5139</v>
      </c>
      <c r="F24" s="288" t="s">
        <v>196</v>
      </c>
      <c r="G24" s="289" t="s">
        <v>66</v>
      </c>
      <c r="H24" s="42">
        <v>0</v>
      </c>
      <c r="I24" s="290">
        <v>37</v>
      </c>
      <c r="J24" s="42"/>
      <c r="K24" s="291">
        <f>I24+J24</f>
        <v>37</v>
      </c>
    </row>
    <row r="25" spans="1:11" ht="12.75">
      <c r="A25" s="559"/>
      <c r="B25" s="292"/>
      <c r="C25" s="250"/>
      <c r="D25" s="182">
        <v>2212</v>
      </c>
      <c r="E25" s="268">
        <v>5169</v>
      </c>
      <c r="F25" s="288" t="s">
        <v>196</v>
      </c>
      <c r="G25" s="293" t="s">
        <v>65</v>
      </c>
      <c r="H25" s="42">
        <v>0</v>
      </c>
      <c r="I25" s="290">
        <v>60</v>
      </c>
      <c r="J25" s="42"/>
      <c r="K25" s="291">
        <f>I25+J25</f>
        <v>60</v>
      </c>
    </row>
    <row r="26" spans="1:11" ht="12.75">
      <c r="A26" s="559"/>
      <c r="B26" s="292"/>
      <c r="C26" s="250"/>
      <c r="D26" s="182">
        <v>2212</v>
      </c>
      <c r="E26" s="268">
        <v>6121</v>
      </c>
      <c r="F26" s="263" t="s">
        <v>183</v>
      </c>
      <c r="G26" s="294" t="s">
        <v>197</v>
      </c>
      <c r="H26" s="42">
        <v>0</v>
      </c>
      <c r="I26" s="290">
        <v>63</v>
      </c>
      <c r="J26" s="42"/>
      <c r="K26" s="291">
        <f>I26+J26</f>
        <v>63</v>
      </c>
    </row>
    <row r="27" spans="1:11" ht="13.5" thickBot="1">
      <c r="A27" s="559"/>
      <c r="B27" s="292"/>
      <c r="C27" s="250"/>
      <c r="D27" s="189">
        <v>2212</v>
      </c>
      <c r="E27" s="295">
        <v>6121</v>
      </c>
      <c r="F27" s="183" t="s">
        <v>147</v>
      </c>
      <c r="G27" s="254" t="s">
        <v>190</v>
      </c>
      <c r="H27" s="43">
        <v>0</v>
      </c>
      <c r="I27" s="296">
        <f>32481-5606+5606</f>
        <v>32481</v>
      </c>
      <c r="J27" s="43"/>
      <c r="K27" s="297">
        <f>I27+J27</f>
        <v>32481</v>
      </c>
    </row>
    <row r="28" spans="1:11" ht="12.75">
      <c r="A28" s="559"/>
      <c r="B28" s="282" t="s">
        <v>5</v>
      </c>
      <c r="C28" s="209" t="s">
        <v>149</v>
      </c>
      <c r="D28" s="132"/>
      <c r="E28" s="283" t="s">
        <v>3</v>
      </c>
      <c r="F28" s="284"/>
      <c r="G28" s="255" t="s">
        <v>150</v>
      </c>
      <c r="H28" s="285">
        <f>SUM(H29:H32)</f>
        <v>0</v>
      </c>
      <c r="I28" s="285">
        <f>SUM(I29:I32)</f>
        <v>4788</v>
      </c>
      <c r="J28" s="285">
        <f>SUM(J29:J32)</f>
        <v>0</v>
      </c>
      <c r="K28" s="210">
        <f>SUM(K29:K32)</f>
        <v>4788</v>
      </c>
    </row>
    <row r="29" spans="1:11" ht="12.75">
      <c r="A29" s="559"/>
      <c r="B29" s="286"/>
      <c r="C29" s="287"/>
      <c r="D29" s="251">
        <v>2212</v>
      </c>
      <c r="E29" s="274">
        <v>5139</v>
      </c>
      <c r="F29" s="288" t="s">
        <v>196</v>
      </c>
      <c r="G29" s="289" t="s">
        <v>66</v>
      </c>
      <c r="H29" s="42">
        <v>0</v>
      </c>
      <c r="I29" s="290">
        <v>13</v>
      </c>
      <c r="J29" s="42"/>
      <c r="K29" s="291">
        <f>I29+J29</f>
        <v>13</v>
      </c>
    </row>
    <row r="30" spans="1:11" ht="12.75">
      <c r="A30" s="559"/>
      <c r="B30" s="292"/>
      <c r="C30" s="250"/>
      <c r="D30" s="182">
        <v>2212</v>
      </c>
      <c r="E30" s="268">
        <v>5169</v>
      </c>
      <c r="F30" s="288" t="s">
        <v>196</v>
      </c>
      <c r="G30" s="293" t="s">
        <v>65</v>
      </c>
      <c r="H30" s="42">
        <v>0</v>
      </c>
      <c r="I30" s="290">
        <v>109</v>
      </c>
      <c r="J30" s="42"/>
      <c r="K30" s="291">
        <f>I30+J30</f>
        <v>109</v>
      </c>
    </row>
    <row r="31" spans="1:11" ht="12.75">
      <c r="A31" s="559"/>
      <c r="B31" s="292"/>
      <c r="C31" s="250"/>
      <c r="D31" s="182">
        <v>2212</v>
      </c>
      <c r="E31" s="268">
        <v>6121</v>
      </c>
      <c r="F31" s="263" t="s">
        <v>183</v>
      </c>
      <c r="G31" s="294" t="s">
        <v>197</v>
      </c>
      <c r="H31" s="42">
        <v>0</v>
      </c>
      <c r="I31" s="290">
        <v>354</v>
      </c>
      <c r="J31" s="42"/>
      <c r="K31" s="291">
        <f>I31+J31</f>
        <v>354</v>
      </c>
    </row>
    <row r="32" spans="1:11" ht="13.5" thickBot="1">
      <c r="A32" s="559"/>
      <c r="B32" s="277"/>
      <c r="C32" s="250"/>
      <c r="D32" s="189">
        <v>2212</v>
      </c>
      <c r="E32" s="295">
        <v>6121</v>
      </c>
      <c r="F32" s="183" t="s">
        <v>147</v>
      </c>
      <c r="G32" s="254" t="s">
        <v>190</v>
      </c>
      <c r="H32" s="43">
        <v>0</v>
      </c>
      <c r="I32" s="296">
        <v>4312</v>
      </c>
      <c r="J32" s="43"/>
      <c r="K32" s="297">
        <f>I32+J32</f>
        <v>4312</v>
      </c>
    </row>
    <row r="33" spans="1:11" ht="12.75">
      <c r="A33" s="559"/>
      <c r="B33" s="282" t="s">
        <v>5</v>
      </c>
      <c r="C33" s="209" t="s">
        <v>151</v>
      </c>
      <c r="D33" s="132"/>
      <c r="E33" s="283" t="s">
        <v>3</v>
      </c>
      <c r="F33" s="284"/>
      <c r="G33" s="255" t="s">
        <v>152</v>
      </c>
      <c r="H33" s="285">
        <f>SUM(H34:H37)</f>
        <v>0</v>
      </c>
      <c r="I33" s="285">
        <f>SUM(I34:I37)</f>
        <v>30096</v>
      </c>
      <c r="J33" s="285">
        <f>SUM(J34:J37)</f>
        <v>0</v>
      </c>
      <c r="K33" s="210">
        <f>SUM(K34:K37)</f>
        <v>30096</v>
      </c>
    </row>
    <row r="34" spans="1:11" ht="12.75">
      <c r="A34" s="559"/>
      <c r="B34" s="286"/>
      <c r="C34" s="287"/>
      <c r="D34" s="251">
        <v>2212</v>
      </c>
      <c r="E34" s="274">
        <v>5139</v>
      </c>
      <c r="F34" s="288" t="s">
        <v>196</v>
      </c>
      <c r="G34" s="289" t="s">
        <v>66</v>
      </c>
      <c r="H34" s="42">
        <v>0</v>
      </c>
      <c r="I34" s="290">
        <v>43</v>
      </c>
      <c r="J34" s="42"/>
      <c r="K34" s="291">
        <f aca="true" t="shared" si="0" ref="K34:K41">I34+J34</f>
        <v>43</v>
      </c>
    </row>
    <row r="35" spans="1:11" ht="12.75">
      <c r="A35" s="559"/>
      <c r="B35" s="292"/>
      <c r="C35" s="250"/>
      <c r="D35" s="182">
        <v>2212</v>
      </c>
      <c r="E35" s="268">
        <v>5169</v>
      </c>
      <c r="F35" s="288" t="s">
        <v>196</v>
      </c>
      <c r="G35" s="293" t="s">
        <v>65</v>
      </c>
      <c r="H35" s="42">
        <v>0</v>
      </c>
      <c r="I35" s="290">
        <v>55</v>
      </c>
      <c r="J35" s="42"/>
      <c r="K35" s="291">
        <f t="shared" si="0"/>
        <v>55</v>
      </c>
    </row>
    <row r="36" spans="1:11" ht="12.75">
      <c r="A36" s="559"/>
      <c r="B36" s="298"/>
      <c r="C36" s="250"/>
      <c r="D36" s="182">
        <v>2212</v>
      </c>
      <c r="E36" s="268">
        <v>6121</v>
      </c>
      <c r="F36" s="263" t="s">
        <v>183</v>
      </c>
      <c r="G36" s="294" t="s">
        <v>197</v>
      </c>
      <c r="H36" s="42">
        <v>0</v>
      </c>
      <c r="I36" s="290">
        <v>2250</v>
      </c>
      <c r="J36" s="42"/>
      <c r="K36" s="291">
        <f t="shared" si="0"/>
        <v>2250</v>
      </c>
    </row>
    <row r="37" spans="1:11" ht="13.5" thickBot="1">
      <c r="A37" s="559"/>
      <c r="B37" s="277"/>
      <c r="C37" s="250"/>
      <c r="D37" s="189">
        <v>2212</v>
      </c>
      <c r="E37" s="295">
        <v>6121</v>
      </c>
      <c r="F37" s="183" t="s">
        <v>147</v>
      </c>
      <c r="G37" s="254" t="s">
        <v>190</v>
      </c>
      <c r="H37" s="43">
        <v>0</v>
      </c>
      <c r="I37" s="296">
        <f>27748-5605-2797+8402</f>
        <v>27748</v>
      </c>
      <c r="J37" s="43"/>
      <c r="K37" s="297">
        <f t="shared" si="0"/>
        <v>27748</v>
      </c>
    </row>
    <row r="38" spans="1:11" ht="12.75">
      <c r="A38" s="559"/>
      <c r="B38" s="282" t="s">
        <v>5</v>
      </c>
      <c r="C38" s="209" t="s">
        <v>153</v>
      </c>
      <c r="D38" s="132"/>
      <c r="E38" s="283" t="s">
        <v>3</v>
      </c>
      <c r="F38" s="284"/>
      <c r="G38" s="255" t="s">
        <v>101</v>
      </c>
      <c r="H38" s="259">
        <f>SUM(H39:H41)</f>
        <v>0</v>
      </c>
      <c r="I38" s="259">
        <f>SUM(I39:I41)</f>
        <v>6494.80793</v>
      </c>
      <c r="J38" s="259">
        <f>SUM(J39:J41)</f>
        <v>0</v>
      </c>
      <c r="K38" s="248">
        <f>SUM(K39:K41)</f>
        <v>6494.80793</v>
      </c>
    </row>
    <row r="39" spans="1:11" ht="12.75">
      <c r="A39" s="559"/>
      <c r="B39" s="286"/>
      <c r="C39" s="287"/>
      <c r="D39" s="251">
        <v>2212</v>
      </c>
      <c r="E39" s="274">
        <v>5139</v>
      </c>
      <c r="F39" s="288" t="s">
        <v>196</v>
      </c>
      <c r="G39" s="289" t="s">
        <v>66</v>
      </c>
      <c r="H39" s="42">
        <v>0</v>
      </c>
      <c r="I39" s="290">
        <v>37</v>
      </c>
      <c r="J39" s="42"/>
      <c r="K39" s="42">
        <f t="shared" si="0"/>
        <v>37</v>
      </c>
    </row>
    <row r="40" spans="1:11" ht="12.75">
      <c r="A40" s="559"/>
      <c r="B40" s="292"/>
      <c r="C40" s="250"/>
      <c r="D40" s="182">
        <v>2212</v>
      </c>
      <c r="E40" s="268">
        <v>5169</v>
      </c>
      <c r="F40" s="288" t="s">
        <v>196</v>
      </c>
      <c r="G40" s="299" t="s">
        <v>65</v>
      </c>
      <c r="H40" s="42">
        <v>0</v>
      </c>
      <c r="I40" s="290">
        <v>19</v>
      </c>
      <c r="J40" s="42"/>
      <c r="K40" s="42">
        <f t="shared" si="0"/>
        <v>19</v>
      </c>
    </row>
    <row r="41" spans="1:11" ht="13.5" thickBot="1">
      <c r="A41" s="559"/>
      <c r="B41" s="292"/>
      <c r="C41" s="250"/>
      <c r="D41" s="182">
        <v>2212</v>
      </c>
      <c r="E41" s="268">
        <v>6121</v>
      </c>
      <c r="F41" s="288" t="s">
        <v>147</v>
      </c>
      <c r="G41" s="300" t="s">
        <v>197</v>
      </c>
      <c r="H41" s="43">
        <v>0</v>
      </c>
      <c r="I41" s="1">
        <f>3236.80793+3202</f>
        <v>6438.80793</v>
      </c>
      <c r="J41" s="43"/>
      <c r="K41" s="43">
        <f t="shared" si="0"/>
        <v>6438.80793</v>
      </c>
    </row>
    <row r="42" spans="1:11" ht="12.75">
      <c r="A42" s="559"/>
      <c r="B42" s="282" t="s">
        <v>5</v>
      </c>
      <c r="C42" s="209" t="s">
        <v>154</v>
      </c>
      <c r="D42" s="132"/>
      <c r="E42" s="283" t="s">
        <v>3</v>
      </c>
      <c r="F42" s="284"/>
      <c r="G42" s="255" t="s">
        <v>155</v>
      </c>
      <c r="H42" s="210">
        <f>SUM(H43:H46)</f>
        <v>0</v>
      </c>
      <c r="I42" s="210">
        <f>SUM(I43:I46)</f>
        <v>13332</v>
      </c>
      <c r="J42" s="210">
        <f>SUM(J43:J46)</f>
        <v>0</v>
      </c>
      <c r="K42" s="210">
        <f>SUM(K43:K46)</f>
        <v>13332</v>
      </c>
    </row>
    <row r="43" spans="1:11" ht="12.75">
      <c r="A43" s="559"/>
      <c r="B43" s="286"/>
      <c r="C43" s="287"/>
      <c r="D43" s="251">
        <v>2212</v>
      </c>
      <c r="E43" s="274">
        <v>5139</v>
      </c>
      <c r="F43" s="288" t="s">
        <v>196</v>
      </c>
      <c r="G43" s="301" t="s">
        <v>66</v>
      </c>
      <c r="H43" s="42">
        <v>0</v>
      </c>
      <c r="I43" s="290">
        <v>37</v>
      </c>
      <c r="J43" s="42"/>
      <c r="K43" s="291">
        <f>I43+J43</f>
        <v>37</v>
      </c>
    </row>
    <row r="44" spans="1:11" ht="12.75">
      <c r="A44" s="559"/>
      <c r="B44" s="292"/>
      <c r="C44" s="250"/>
      <c r="D44" s="182">
        <v>2212</v>
      </c>
      <c r="E44" s="268">
        <v>5169</v>
      </c>
      <c r="F44" s="288" t="s">
        <v>196</v>
      </c>
      <c r="G44" s="299" t="s">
        <v>65</v>
      </c>
      <c r="H44" s="42">
        <v>0</v>
      </c>
      <c r="I44" s="290">
        <v>55</v>
      </c>
      <c r="J44" s="42"/>
      <c r="K44" s="291">
        <f>I44+J44</f>
        <v>55</v>
      </c>
    </row>
    <row r="45" spans="1:11" ht="12.75">
      <c r="A45" s="559"/>
      <c r="B45" s="292"/>
      <c r="C45" s="250"/>
      <c r="D45" s="182">
        <v>2212</v>
      </c>
      <c r="E45" s="268">
        <v>6121</v>
      </c>
      <c r="F45" s="263" t="s">
        <v>183</v>
      </c>
      <c r="G45" s="294" t="s">
        <v>197</v>
      </c>
      <c r="H45" s="42">
        <v>0</v>
      </c>
      <c r="I45" s="290">
        <v>927</v>
      </c>
      <c r="J45" s="42"/>
      <c r="K45" s="291">
        <f>I45+J45</f>
        <v>927</v>
      </c>
    </row>
    <row r="46" spans="1:11" ht="13.5" thickBot="1">
      <c r="A46" s="559"/>
      <c r="B46" s="292"/>
      <c r="C46" s="250"/>
      <c r="D46" s="182">
        <v>2212</v>
      </c>
      <c r="E46" s="268">
        <v>6121</v>
      </c>
      <c r="F46" s="288" t="s">
        <v>147</v>
      </c>
      <c r="G46" s="294" t="s">
        <v>197</v>
      </c>
      <c r="H46" s="43">
        <v>0</v>
      </c>
      <c r="I46" s="296">
        <v>12313</v>
      </c>
      <c r="J46" s="43"/>
      <c r="K46" s="297">
        <f>I46+J46</f>
        <v>12313</v>
      </c>
    </row>
    <row r="47" spans="1:11" ht="12.75">
      <c r="A47" s="559"/>
      <c r="B47" s="302" t="s">
        <v>5</v>
      </c>
      <c r="C47" s="209" t="s">
        <v>156</v>
      </c>
      <c r="D47" s="132"/>
      <c r="E47" s="283" t="s">
        <v>3</v>
      </c>
      <c r="F47" s="284"/>
      <c r="G47" s="255" t="s">
        <v>157</v>
      </c>
      <c r="H47" s="210">
        <f>SUM(H48:H51)</f>
        <v>0</v>
      </c>
      <c r="I47" s="210">
        <f>SUM(I48:I51)</f>
        <v>2440</v>
      </c>
      <c r="J47" s="210">
        <f>SUM(J48:J51)</f>
        <v>0</v>
      </c>
      <c r="K47" s="210">
        <f>SUM(K48:K51)</f>
        <v>2440</v>
      </c>
    </row>
    <row r="48" spans="1:11" ht="12.75">
      <c r="A48" s="559"/>
      <c r="B48" s="303"/>
      <c r="C48" s="287"/>
      <c r="D48" s="251">
        <v>2212</v>
      </c>
      <c r="E48" s="274">
        <v>5139</v>
      </c>
      <c r="F48" s="288" t="s">
        <v>196</v>
      </c>
      <c r="G48" s="301" t="s">
        <v>66</v>
      </c>
      <c r="H48" s="42">
        <v>0</v>
      </c>
      <c r="I48" s="290">
        <v>37</v>
      </c>
      <c r="J48" s="42"/>
      <c r="K48" s="291">
        <f>I48+J48</f>
        <v>37</v>
      </c>
    </row>
    <row r="49" spans="1:11" ht="12.75">
      <c r="A49" s="559"/>
      <c r="B49" s="266"/>
      <c r="C49" s="250"/>
      <c r="D49" s="182">
        <v>2212</v>
      </c>
      <c r="E49" s="268">
        <v>5169</v>
      </c>
      <c r="F49" s="288" t="s">
        <v>196</v>
      </c>
      <c r="G49" s="299" t="s">
        <v>65</v>
      </c>
      <c r="H49" s="42">
        <v>0</v>
      </c>
      <c r="I49" s="290">
        <v>55</v>
      </c>
      <c r="J49" s="42"/>
      <c r="K49" s="291">
        <f>I49+J49</f>
        <v>55</v>
      </c>
    </row>
    <row r="50" spans="1:11" ht="12.75">
      <c r="A50" s="559"/>
      <c r="B50" s="266"/>
      <c r="C50" s="250"/>
      <c r="D50" s="182">
        <v>2212</v>
      </c>
      <c r="E50" s="268">
        <v>6121</v>
      </c>
      <c r="F50" s="263" t="s">
        <v>183</v>
      </c>
      <c r="G50" s="294" t="s">
        <v>197</v>
      </c>
      <c r="H50" s="42">
        <v>0</v>
      </c>
      <c r="I50" s="290">
        <v>222</v>
      </c>
      <c r="J50" s="42"/>
      <c r="K50" s="291">
        <f>I50+J50</f>
        <v>222</v>
      </c>
    </row>
    <row r="51" spans="1:11" ht="13.5" thickBot="1">
      <c r="A51" s="559"/>
      <c r="B51" s="304"/>
      <c r="C51" s="305"/>
      <c r="D51" s="189">
        <v>2212</v>
      </c>
      <c r="E51" s="295">
        <v>6121</v>
      </c>
      <c r="F51" s="183" t="s">
        <v>147</v>
      </c>
      <c r="G51" s="306" t="s">
        <v>197</v>
      </c>
      <c r="H51" s="43">
        <v>0</v>
      </c>
      <c r="I51" s="296">
        <v>2126</v>
      </c>
      <c r="J51" s="43"/>
      <c r="K51" s="297">
        <f>I51+J51</f>
        <v>2126</v>
      </c>
    </row>
    <row r="52" spans="1:11" ht="12.75">
      <c r="A52" s="559"/>
      <c r="B52" s="307" t="s">
        <v>5</v>
      </c>
      <c r="C52" s="287" t="s">
        <v>198</v>
      </c>
      <c r="D52" s="308"/>
      <c r="E52" s="309" t="s">
        <v>3</v>
      </c>
      <c r="F52" s="310"/>
      <c r="G52" s="311" t="s">
        <v>199</v>
      </c>
      <c r="H52" s="285">
        <f>SUM(H53:H53)</f>
        <v>0</v>
      </c>
      <c r="I52" s="285">
        <f>SUM(I53:I53)</f>
        <v>780</v>
      </c>
      <c r="J52" s="312">
        <f>SUM(J53:J53)</f>
        <v>0</v>
      </c>
      <c r="K52" s="313">
        <f>SUM(K53:K53)</f>
        <v>780</v>
      </c>
    </row>
    <row r="53" spans="1:11" ht="13.5" thickBot="1">
      <c r="A53" s="559"/>
      <c r="B53" s="314"/>
      <c r="C53" s="315"/>
      <c r="D53" s="189">
        <v>2212</v>
      </c>
      <c r="E53" s="295">
        <v>6121</v>
      </c>
      <c r="F53" s="316" t="s">
        <v>183</v>
      </c>
      <c r="G53" s="317" t="s">
        <v>65</v>
      </c>
      <c r="H53" s="43">
        <v>0</v>
      </c>
      <c r="I53" s="43">
        <v>780</v>
      </c>
      <c r="J53" s="129"/>
      <c r="K53" s="318">
        <f>I53+J53</f>
        <v>780</v>
      </c>
    </row>
    <row r="54" spans="1:11" ht="12.75">
      <c r="A54" s="559"/>
      <c r="B54" s="319" t="s">
        <v>5</v>
      </c>
      <c r="C54" s="209" t="s">
        <v>200</v>
      </c>
      <c r="D54" s="132"/>
      <c r="E54" s="283" t="s">
        <v>3</v>
      </c>
      <c r="F54" s="284"/>
      <c r="G54" s="320" t="s">
        <v>201</v>
      </c>
      <c r="H54" s="210">
        <f>SUM(H55:H55)</f>
        <v>0</v>
      </c>
      <c r="I54" s="210">
        <f>SUM(I55:I55)</f>
        <v>800</v>
      </c>
      <c r="J54" s="312">
        <f>SUM(J55:J55)</f>
        <v>0</v>
      </c>
      <c r="K54" s="313">
        <f>SUM(K55:K55)</f>
        <v>800</v>
      </c>
    </row>
    <row r="55" spans="1:11" ht="13.5" thickBot="1">
      <c r="A55" s="559"/>
      <c r="B55" s="321"/>
      <c r="C55" s="322"/>
      <c r="D55" s="189">
        <v>2212</v>
      </c>
      <c r="E55" s="295">
        <v>6121</v>
      </c>
      <c r="F55" s="316" t="s">
        <v>183</v>
      </c>
      <c r="G55" s="317" t="s">
        <v>65</v>
      </c>
      <c r="H55" s="43">
        <v>0</v>
      </c>
      <c r="I55" s="43">
        <v>800</v>
      </c>
      <c r="J55" s="323"/>
      <c r="K55" s="318">
        <f>I55+J55</f>
        <v>800</v>
      </c>
    </row>
    <row r="56" spans="1:11" ht="12.75">
      <c r="A56" s="559"/>
      <c r="B56" s="319" t="s">
        <v>5</v>
      </c>
      <c r="C56" s="209" t="s">
        <v>202</v>
      </c>
      <c r="D56" s="132"/>
      <c r="E56" s="283" t="s">
        <v>3</v>
      </c>
      <c r="F56" s="284"/>
      <c r="G56" s="320" t="s">
        <v>203</v>
      </c>
      <c r="H56" s="210">
        <f>SUM(H57:H57)</f>
        <v>0</v>
      </c>
      <c r="I56" s="210">
        <f>SUM(I57:I57)</f>
        <v>297</v>
      </c>
      <c r="J56" s="312">
        <f>SUM(J57:J57)</f>
        <v>0</v>
      </c>
      <c r="K56" s="313">
        <f>SUM(K57:K57)</f>
        <v>297</v>
      </c>
    </row>
    <row r="57" spans="1:11" ht="13.5" thickBot="1">
      <c r="A57" s="559"/>
      <c r="B57" s="314"/>
      <c r="C57" s="315"/>
      <c r="D57" s="189">
        <v>2212</v>
      </c>
      <c r="E57" s="295">
        <v>6121</v>
      </c>
      <c r="F57" s="316" t="s">
        <v>183</v>
      </c>
      <c r="G57" s="324" t="s">
        <v>197</v>
      </c>
      <c r="H57" s="43">
        <v>0</v>
      </c>
      <c r="I57" s="43">
        <v>297</v>
      </c>
      <c r="J57" s="323"/>
      <c r="K57" s="318">
        <f>I57+J57</f>
        <v>297</v>
      </c>
    </row>
    <row r="58" spans="1:11" ht="12.75">
      <c r="A58" s="559"/>
      <c r="B58" s="319" t="s">
        <v>5</v>
      </c>
      <c r="C58" s="209" t="s">
        <v>204</v>
      </c>
      <c r="D58" s="132"/>
      <c r="E58" s="283" t="s">
        <v>3</v>
      </c>
      <c r="F58" s="284"/>
      <c r="G58" s="320" t="s">
        <v>205</v>
      </c>
      <c r="H58" s="325">
        <f>SUM(H59:H60)</f>
        <v>0</v>
      </c>
      <c r="I58" s="325">
        <f>SUM(I59:I60)</f>
        <v>25908</v>
      </c>
      <c r="J58" s="325">
        <f>SUM(J59:J60)</f>
        <v>0</v>
      </c>
      <c r="K58" s="210">
        <f>SUM(K59:K60)</f>
        <v>25908</v>
      </c>
    </row>
    <row r="59" spans="1:11" ht="12.75">
      <c r="A59" s="559"/>
      <c r="B59" s="326"/>
      <c r="C59" s="327"/>
      <c r="D59" s="182">
        <v>2212</v>
      </c>
      <c r="E59" s="268">
        <v>6121</v>
      </c>
      <c r="F59" s="263" t="s">
        <v>183</v>
      </c>
      <c r="G59" s="328" t="s">
        <v>197</v>
      </c>
      <c r="H59" s="42">
        <v>0</v>
      </c>
      <c r="I59" s="42">
        <v>750</v>
      </c>
      <c r="J59" s="264"/>
      <c r="K59" s="2">
        <f>I59+J59</f>
        <v>750</v>
      </c>
    </row>
    <row r="60" spans="1:11" ht="13.5" thickBot="1">
      <c r="A60" s="559"/>
      <c r="B60" s="329"/>
      <c r="C60" s="330"/>
      <c r="D60" s="187">
        <v>2212</v>
      </c>
      <c r="E60" s="279">
        <v>6121</v>
      </c>
      <c r="F60" s="183" t="s">
        <v>147</v>
      </c>
      <c r="G60" s="331" t="s">
        <v>197</v>
      </c>
      <c r="H60" s="119">
        <v>0</v>
      </c>
      <c r="I60" s="332">
        <v>25158</v>
      </c>
      <c r="J60" s="332"/>
      <c r="K60" s="318">
        <f>I60+J60</f>
        <v>25158</v>
      </c>
    </row>
    <row r="61" spans="1:11" ht="12.75">
      <c r="A61" s="559"/>
      <c r="B61" s="319" t="s">
        <v>5</v>
      </c>
      <c r="C61" s="209" t="s">
        <v>158</v>
      </c>
      <c r="D61" s="132"/>
      <c r="E61" s="283" t="s">
        <v>3</v>
      </c>
      <c r="F61" s="284"/>
      <c r="G61" s="320" t="s">
        <v>159</v>
      </c>
      <c r="H61" s="325">
        <f>SUM(H62:H63)</f>
        <v>0</v>
      </c>
      <c r="I61" s="325">
        <f>SUM(I62:I63)</f>
        <v>31005</v>
      </c>
      <c r="J61" s="325">
        <f>SUM(J62:J63)</f>
        <v>0</v>
      </c>
      <c r="K61" s="210">
        <f>SUM(K62:K63)</f>
        <v>31005</v>
      </c>
    </row>
    <row r="62" spans="1:11" ht="12.75">
      <c r="A62" s="559"/>
      <c r="B62" s="326"/>
      <c r="C62" s="327"/>
      <c r="D62" s="182">
        <v>2212</v>
      </c>
      <c r="E62" s="268">
        <v>6121</v>
      </c>
      <c r="F62" s="263" t="s">
        <v>183</v>
      </c>
      <c r="G62" s="328" t="s">
        <v>197</v>
      </c>
      <c r="H62" s="42">
        <v>0</v>
      </c>
      <c r="I62" s="42">
        <v>1500</v>
      </c>
      <c r="J62" s="186"/>
      <c r="K62" s="2">
        <f>I62+J62</f>
        <v>1500</v>
      </c>
    </row>
    <row r="63" spans="1:11" ht="13.5" thickBot="1">
      <c r="A63" s="559"/>
      <c r="B63" s="329"/>
      <c r="C63" s="330"/>
      <c r="D63" s="187">
        <v>2212</v>
      </c>
      <c r="E63" s="279">
        <v>6121</v>
      </c>
      <c r="F63" s="333" t="s">
        <v>147</v>
      </c>
      <c r="G63" s="331" t="s">
        <v>197</v>
      </c>
      <c r="H63" s="119">
        <v>0</v>
      </c>
      <c r="I63" s="281">
        <v>29505</v>
      </c>
      <c r="J63" s="281"/>
      <c r="K63" s="318">
        <f>I63+J63</f>
        <v>29505</v>
      </c>
    </row>
    <row r="64" spans="1:11" ht="12.75">
      <c r="A64" s="559"/>
      <c r="B64" s="319" t="s">
        <v>5</v>
      </c>
      <c r="C64" s="209" t="s">
        <v>160</v>
      </c>
      <c r="D64" s="132"/>
      <c r="E64" s="283" t="s">
        <v>3</v>
      </c>
      <c r="F64" s="284"/>
      <c r="G64" s="320" t="s">
        <v>161</v>
      </c>
      <c r="H64" s="325">
        <f>SUM(H65:H66)</f>
        <v>0</v>
      </c>
      <c r="I64" s="325">
        <f>SUM(I65:I66)</f>
        <v>16510</v>
      </c>
      <c r="J64" s="325">
        <f>SUM(J65:J66)</f>
        <v>0</v>
      </c>
      <c r="K64" s="210">
        <f>SUM(K65:K66)</f>
        <v>16510</v>
      </c>
    </row>
    <row r="65" spans="1:11" ht="12.75">
      <c r="A65" s="559"/>
      <c r="B65" s="326"/>
      <c r="C65" s="327"/>
      <c r="D65" s="182">
        <v>2212</v>
      </c>
      <c r="E65" s="268">
        <v>6121</v>
      </c>
      <c r="F65" s="263" t="s">
        <v>183</v>
      </c>
      <c r="G65" s="328" t="s">
        <v>197</v>
      </c>
      <c r="H65" s="42">
        <v>0</v>
      </c>
      <c r="I65" s="42">
        <v>750</v>
      </c>
      <c r="J65" s="264"/>
      <c r="K65" s="2">
        <f>I65+J65</f>
        <v>750</v>
      </c>
    </row>
    <row r="66" spans="1:11" ht="13.5" thickBot="1">
      <c r="A66" s="559"/>
      <c r="B66" s="334"/>
      <c r="C66" s="322"/>
      <c r="D66" s="189">
        <v>2212</v>
      </c>
      <c r="E66" s="295">
        <v>6121</v>
      </c>
      <c r="F66" s="183" t="s">
        <v>147</v>
      </c>
      <c r="G66" s="324" t="s">
        <v>197</v>
      </c>
      <c r="H66" s="43">
        <v>0</v>
      </c>
      <c r="I66" s="129">
        <v>15760</v>
      </c>
      <c r="J66" s="129"/>
      <c r="K66" s="1">
        <f>I66+J66</f>
        <v>15760</v>
      </c>
    </row>
    <row r="67" spans="1:11" ht="12.75">
      <c r="A67" s="559"/>
      <c r="B67" s="319" t="s">
        <v>5</v>
      </c>
      <c r="C67" s="209" t="s">
        <v>162</v>
      </c>
      <c r="D67" s="132"/>
      <c r="E67" s="283" t="s">
        <v>3</v>
      </c>
      <c r="F67" s="284"/>
      <c r="G67" s="320" t="s">
        <v>163</v>
      </c>
      <c r="H67" s="325">
        <f>SUM(H68:H69)</f>
        <v>0</v>
      </c>
      <c r="I67" s="325">
        <f>SUM(I68:I69)</f>
        <v>20240</v>
      </c>
      <c r="J67" s="325">
        <f>SUM(J68:J69)</f>
        <v>0</v>
      </c>
      <c r="K67" s="210">
        <f>SUM(K68:K69)</f>
        <v>20240</v>
      </c>
    </row>
    <row r="68" spans="1:11" ht="12.75">
      <c r="A68" s="559"/>
      <c r="B68" s="326"/>
      <c r="C68" s="327"/>
      <c r="D68" s="182">
        <v>2212</v>
      </c>
      <c r="E68" s="268">
        <v>6121</v>
      </c>
      <c r="F68" s="263" t="s">
        <v>183</v>
      </c>
      <c r="G68" s="328" t="s">
        <v>197</v>
      </c>
      <c r="H68" s="42">
        <v>0</v>
      </c>
      <c r="I68" s="42">
        <v>800</v>
      </c>
      <c r="J68" s="264"/>
      <c r="K68" s="2">
        <f>I68+J68</f>
        <v>800</v>
      </c>
    </row>
    <row r="69" spans="1:11" ht="13.5" thickBot="1">
      <c r="A69" s="559"/>
      <c r="B69" s="335"/>
      <c r="C69" s="315"/>
      <c r="D69" s="187">
        <v>2212</v>
      </c>
      <c r="E69" s="279">
        <v>6121</v>
      </c>
      <c r="F69" s="333" t="s">
        <v>147</v>
      </c>
      <c r="G69" s="331" t="s">
        <v>197</v>
      </c>
      <c r="H69" s="119">
        <v>0</v>
      </c>
      <c r="I69" s="332">
        <v>19440</v>
      </c>
      <c r="J69" s="332"/>
      <c r="K69" s="318">
        <f>I69+J69</f>
        <v>19440</v>
      </c>
    </row>
    <row r="70" spans="1:11" ht="12.75">
      <c r="A70" s="559"/>
      <c r="B70" s="319" t="s">
        <v>5</v>
      </c>
      <c r="C70" s="209" t="s">
        <v>164</v>
      </c>
      <c r="D70" s="132"/>
      <c r="E70" s="283" t="s">
        <v>3</v>
      </c>
      <c r="F70" s="284"/>
      <c r="G70" s="320" t="s">
        <v>165</v>
      </c>
      <c r="H70" s="325">
        <f>SUM(H71:H72)</f>
        <v>0</v>
      </c>
      <c r="I70" s="325">
        <f>SUM(I71:I72)</f>
        <v>5684</v>
      </c>
      <c r="J70" s="325">
        <f>SUM(J71:J72)</f>
        <v>0</v>
      </c>
      <c r="K70" s="210">
        <f>SUM(K71:K72)</f>
        <v>5684</v>
      </c>
    </row>
    <row r="71" spans="1:11" ht="12.75">
      <c r="A71" s="559"/>
      <c r="B71" s="326"/>
      <c r="C71" s="327"/>
      <c r="D71" s="182">
        <v>2212</v>
      </c>
      <c r="E71" s="268">
        <v>6121</v>
      </c>
      <c r="F71" s="263" t="s">
        <v>183</v>
      </c>
      <c r="G71" s="328" t="s">
        <v>197</v>
      </c>
      <c r="H71" s="42">
        <v>0</v>
      </c>
      <c r="I71" s="42">
        <v>500</v>
      </c>
      <c r="J71" s="264"/>
      <c r="K71" s="2">
        <f>I71+J71</f>
        <v>500</v>
      </c>
    </row>
    <row r="72" spans="1:11" ht="13.5" thickBot="1">
      <c r="A72" s="559"/>
      <c r="B72" s="335"/>
      <c r="C72" s="315"/>
      <c r="D72" s="187">
        <v>2212</v>
      </c>
      <c r="E72" s="279">
        <v>6121</v>
      </c>
      <c r="F72" s="333" t="s">
        <v>147</v>
      </c>
      <c r="G72" s="331" t="s">
        <v>197</v>
      </c>
      <c r="H72" s="119">
        <v>0</v>
      </c>
      <c r="I72" s="332">
        <v>5184</v>
      </c>
      <c r="J72" s="332"/>
      <c r="K72" s="318">
        <f>I72+J72</f>
        <v>5184</v>
      </c>
    </row>
    <row r="73" spans="1:11" ht="12.75">
      <c r="A73" s="559"/>
      <c r="B73" s="319" t="s">
        <v>5</v>
      </c>
      <c r="C73" s="209" t="s">
        <v>166</v>
      </c>
      <c r="D73" s="132"/>
      <c r="E73" s="283" t="s">
        <v>3</v>
      </c>
      <c r="F73" s="284"/>
      <c r="G73" s="320" t="s">
        <v>167</v>
      </c>
      <c r="H73" s="325">
        <f>SUM(H74:H75)</f>
        <v>0</v>
      </c>
      <c r="I73" s="325">
        <f>SUM(I74:I75)</f>
        <v>31779</v>
      </c>
      <c r="J73" s="325">
        <f>SUM(J74:J75)</f>
        <v>0</v>
      </c>
      <c r="K73" s="210">
        <f>SUM(K74:K75)</f>
        <v>31779</v>
      </c>
    </row>
    <row r="74" spans="1:11" ht="12.75">
      <c r="A74" s="559"/>
      <c r="B74" s="326"/>
      <c r="C74" s="327"/>
      <c r="D74" s="182">
        <v>2212</v>
      </c>
      <c r="E74" s="268">
        <v>6121</v>
      </c>
      <c r="F74" s="263" t="s">
        <v>183</v>
      </c>
      <c r="G74" s="328" t="s">
        <v>197</v>
      </c>
      <c r="H74" s="42">
        <v>0</v>
      </c>
      <c r="I74" s="42">
        <v>1500</v>
      </c>
      <c r="J74" s="186"/>
      <c r="K74" s="2">
        <f>I74+J74</f>
        <v>1500</v>
      </c>
    </row>
    <row r="75" spans="1:11" ht="13.5" thickBot="1">
      <c r="A75" s="559"/>
      <c r="B75" s="335"/>
      <c r="C75" s="315"/>
      <c r="D75" s="187">
        <v>2212</v>
      </c>
      <c r="E75" s="279">
        <v>6121</v>
      </c>
      <c r="F75" s="333" t="s">
        <v>147</v>
      </c>
      <c r="G75" s="331" t="s">
        <v>197</v>
      </c>
      <c r="H75" s="119">
        <v>0</v>
      </c>
      <c r="I75" s="281">
        <v>30279</v>
      </c>
      <c r="J75" s="281"/>
      <c r="K75" s="318">
        <f>I75+J75</f>
        <v>30279</v>
      </c>
    </row>
    <row r="76" spans="1:11" ht="12.75">
      <c r="A76" s="559"/>
      <c r="B76" s="336" t="s">
        <v>5</v>
      </c>
      <c r="C76" s="209" t="s">
        <v>206</v>
      </c>
      <c r="D76" s="132"/>
      <c r="E76" s="283" t="s">
        <v>3</v>
      </c>
      <c r="F76" s="284"/>
      <c r="G76" s="320" t="s">
        <v>207</v>
      </c>
      <c r="H76" s="325">
        <f>SUM(H77:H78)</f>
        <v>0</v>
      </c>
      <c r="I76" s="325">
        <f>SUM(I77:I78)</f>
        <v>15817</v>
      </c>
      <c r="J76" s="510">
        <f>SUM(J77:J78)</f>
        <v>456.39500000000004</v>
      </c>
      <c r="K76" s="210">
        <f>SUM(K77:K78)</f>
        <v>16273.395</v>
      </c>
    </row>
    <row r="77" spans="1:11" ht="12.75">
      <c r="A77" s="559"/>
      <c r="B77" s="326"/>
      <c r="C77" s="327"/>
      <c r="D77" s="182">
        <v>2212</v>
      </c>
      <c r="E77" s="268">
        <v>6121</v>
      </c>
      <c r="F77" s="263" t="s">
        <v>183</v>
      </c>
      <c r="G77" s="328" t="s">
        <v>197</v>
      </c>
      <c r="H77" s="42">
        <v>0</v>
      </c>
      <c r="I77" s="42">
        <v>0</v>
      </c>
      <c r="J77" s="511">
        <f>373.285-101.64+119.79+34+30.96</f>
        <v>456.39500000000004</v>
      </c>
      <c r="K77" s="2">
        <f>I77+J77</f>
        <v>456.39500000000004</v>
      </c>
    </row>
    <row r="78" spans="1:11" ht="13.5" thickBot="1">
      <c r="A78" s="559"/>
      <c r="B78" s="335"/>
      <c r="C78" s="315"/>
      <c r="D78" s="187">
        <v>2212</v>
      </c>
      <c r="E78" s="279">
        <v>6121</v>
      </c>
      <c r="F78" s="333" t="s">
        <v>147</v>
      </c>
      <c r="G78" s="331" t="s">
        <v>197</v>
      </c>
      <c r="H78" s="119">
        <v>0</v>
      </c>
      <c r="I78" s="332">
        <v>15817</v>
      </c>
      <c r="J78" s="332"/>
      <c r="K78" s="318">
        <f>I78+J78</f>
        <v>15817</v>
      </c>
    </row>
    <row r="79" spans="1:11" ht="12.75">
      <c r="A79" s="559"/>
      <c r="B79" s="336" t="s">
        <v>5</v>
      </c>
      <c r="C79" s="209" t="s">
        <v>168</v>
      </c>
      <c r="D79" s="132"/>
      <c r="E79" s="283" t="s">
        <v>3</v>
      </c>
      <c r="F79" s="284"/>
      <c r="G79" s="320" t="s">
        <v>169</v>
      </c>
      <c r="H79" s="325">
        <f>SUM(H80:H81)</f>
        <v>0</v>
      </c>
      <c r="I79" s="325">
        <f>SUM(I80:I81)</f>
        <v>32406</v>
      </c>
      <c r="J79" s="325">
        <f>SUM(J80:J81)</f>
        <v>0</v>
      </c>
      <c r="K79" s="210">
        <f>SUM(K80:K81)</f>
        <v>32406</v>
      </c>
    </row>
    <row r="80" spans="1:11" ht="12.75">
      <c r="A80" s="559"/>
      <c r="B80" s="326"/>
      <c r="C80" s="327"/>
      <c r="D80" s="182">
        <v>2212</v>
      </c>
      <c r="E80" s="268">
        <v>6121</v>
      </c>
      <c r="F80" s="263" t="s">
        <v>183</v>
      </c>
      <c r="G80" s="328" t="s">
        <v>197</v>
      </c>
      <c r="H80" s="42">
        <v>0</v>
      </c>
      <c r="I80" s="42">
        <v>1500</v>
      </c>
      <c r="J80" s="264"/>
      <c r="K80" s="2">
        <f>I80+J80</f>
        <v>1500</v>
      </c>
    </row>
    <row r="81" spans="1:11" ht="13.5" thickBot="1">
      <c r="A81" s="559"/>
      <c r="B81" s="335"/>
      <c r="C81" s="315"/>
      <c r="D81" s="187">
        <v>2212</v>
      </c>
      <c r="E81" s="279">
        <v>6121</v>
      </c>
      <c r="F81" s="333" t="s">
        <v>147</v>
      </c>
      <c r="G81" s="331" t="s">
        <v>197</v>
      </c>
      <c r="H81" s="119">
        <v>0</v>
      </c>
      <c r="I81" s="332">
        <v>30906</v>
      </c>
      <c r="J81" s="332"/>
      <c r="K81" s="318">
        <f>I81+J81</f>
        <v>30906</v>
      </c>
    </row>
    <row r="82" spans="1:11" ht="12.75">
      <c r="A82" s="559"/>
      <c r="B82" s="319" t="s">
        <v>5</v>
      </c>
      <c r="C82" s="209" t="s">
        <v>170</v>
      </c>
      <c r="D82" s="132"/>
      <c r="E82" s="283" t="s">
        <v>3</v>
      </c>
      <c r="F82" s="284"/>
      <c r="G82" s="320" t="s">
        <v>171</v>
      </c>
      <c r="H82" s="325">
        <f>SUM(H83:H84)</f>
        <v>0</v>
      </c>
      <c r="I82" s="325">
        <f>SUM(I83:I84)</f>
        <v>22962</v>
      </c>
      <c r="J82" s="325">
        <f>SUM(J83:J84)</f>
        <v>0</v>
      </c>
      <c r="K82" s="210">
        <f>SUM(K83:K84)</f>
        <v>22962</v>
      </c>
    </row>
    <row r="83" spans="1:11" ht="12.75">
      <c r="A83" s="559"/>
      <c r="B83" s="326"/>
      <c r="C83" s="327"/>
      <c r="D83" s="182">
        <v>2212</v>
      </c>
      <c r="E83" s="268">
        <v>6121</v>
      </c>
      <c r="F83" s="263" t="s">
        <v>183</v>
      </c>
      <c r="G83" s="328" t="s">
        <v>197</v>
      </c>
      <c r="H83" s="42">
        <v>0</v>
      </c>
      <c r="I83" s="42">
        <v>1000</v>
      </c>
      <c r="J83" s="264"/>
      <c r="K83" s="2">
        <f>I83+J83</f>
        <v>1000</v>
      </c>
    </row>
    <row r="84" spans="1:11" ht="13.5" thickBot="1">
      <c r="A84" s="559"/>
      <c r="B84" s="335"/>
      <c r="C84" s="315"/>
      <c r="D84" s="187">
        <v>2212</v>
      </c>
      <c r="E84" s="279">
        <v>6121</v>
      </c>
      <c r="F84" s="333" t="s">
        <v>147</v>
      </c>
      <c r="G84" s="331" t="s">
        <v>197</v>
      </c>
      <c r="H84" s="119">
        <v>0</v>
      </c>
      <c r="I84" s="332">
        <v>21962</v>
      </c>
      <c r="J84" s="332"/>
      <c r="K84" s="318">
        <f>I84+J84</f>
        <v>21962</v>
      </c>
    </row>
    <row r="85" spans="1:11" ht="12.75">
      <c r="A85" s="559"/>
      <c r="B85" s="336" t="s">
        <v>5</v>
      </c>
      <c r="C85" s="209" t="s">
        <v>208</v>
      </c>
      <c r="D85" s="132"/>
      <c r="E85" s="283" t="s">
        <v>3</v>
      </c>
      <c r="F85" s="284"/>
      <c r="G85" s="320" t="s">
        <v>433</v>
      </c>
      <c r="H85" s="325">
        <f>SUM(H86:H87)</f>
        <v>0</v>
      </c>
      <c r="I85" s="325">
        <f>SUM(I86:I87)</f>
        <v>36027</v>
      </c>
      <c r="J85" s="510">
        <f>SUM(J86:J87)</f>
        <v>596.988</v>
      </c>
      <c r="K85" s="210">
        <f>SUM(K86:K87)</f>
        <v>36623.988</v>
      </c>
    </row>
    <row r="86" spans="1:11" ht="12.75">
      <c r="A86" s="559"/>
      <c r="B86" s="326"/>
      <c r="C86" s="327"/>
      <c r="D86" s="182">
        <v>2212</v>
      </c>
      <c r="E86" s="268">
        <v>6121</v>
      </c>
      <c r="F86" s="263" t="s">
        <v>183</v>
      </c>
      <c r="G86" s="328" t="s">
        <v>197</v>
      </c>
      <c r="H86" s="42">
        <v>0</v>
      </c>
      <c r="I86" s="42">
        <v>0</v>
      </c>
      <c r="J86" s="511">
        <f>639.485-402.325+235.95+53.359+70.519</f>
        <v>596.988</v>
      </c>
      <c r="K86" s="2">
        <f>I86+J86</f>
        <v>596.988</v>
      </c>
    </row>
    <row r="87" spans="1:11" ht="13.5" thickBot="1">
      <c r="A87" s="559"/>
      <c r="B87" s="335"/>
      <c r="C87" s="315"/>
      <c r="D87" s="187">
        <v>2212</v>
      </c>
      <c r="E87" s="279">
        <v>6121</v>
      </c>
      <c r="F87" s="333" t="s">
        <v>147</v>
      </c>
      <c r="G87" s="331" t="s">
        <v>197</v>
      </c>
      <c r="H87" s="119">
        <v>0</v>
      </c>
      <c r="I87" s="332">
        <v>36027</v>
      </c>
      <c r="J87" s="332"/>
      <c r="K87" s="318">
        <f>I87+J87</f>
        <v>36027</v>
      </c>
    </row>
    <row r="88" spans="1:11" ht="12.75">
      <c r="A88" s="559"/>
      <c r="B88" s="319" t="s">
        <v>5</v>
      </c>
      <c r="C88" s="209" t="s">
        <v>172</v>
      </c>
      <c r="D88" s="132"/>
      <c r="E88" s="283" t="s">
        <v>3</v>
      </c>
      <c r="F88" s="284"/>
      <c r="G88" s="320" t="s">
        <v>173</v>
      </c>
      <c r="H88" s="325">
        <f>SUM(H89:H90)</f>
        <v>0</v>
      </c>
      <c r="I88" s="325">
        <f>SUM(I89:I90)</f>
        <v>18446</v>
      </c>
      <c r="J88" s="325">
        <f>SUM(J89:J90)</f>
        <v>0</v>
      </c>
      <c r="K88" s="210">
        <f>SUM(K89:K90)</f>
        <v>18446</v>
      </c>
    </row>
    <row r="89" spans="1:11" ht="12.75">
      <c r="A89" s="559"/>
      <c r="B89" s="326"/>
      <c r="C89" s="327"/>
      <c r="D89" s="182">
        <v>2212</v>
      </c>
      <c r="E89" s="268">
        <v>6121</v>
      </c>
      <c r="F89" s="263" t="s">
        <v>183</v>
      </c>
      <c r="G89" s="337" t="s">
        <v>190</v>
      </c>
      <c r="H89" s="42">
        <v>0</v>
      </c>
      <c r="I89" s="42">
        <v>1000</v>
      </c>
      <c r="J89" s="264"/>
      <c r="K89" s="2">
        <f>I89+J89</f>
        <v>1000</v>
      </c>
    </row>
    <row r="90" spans="1:11" ht="13.5" thickBot="1">
      <c r="A90" s="559"/>
      <c r="B90" s="335"/>
      <c r="C90" s="315"/>
      <c r="D90" s="187">
        <v>2212</v>
      </c>
      <c r="E90" s="279">
        <v>6121</v>
      </c>
      <c r="F90" s="333" t="s">
        <v>147</v>
      </c>
      <c r="G90" s="331" t="s">
        <v>197</v>
      </c>
      <c r="H90" s="119">
        <v>0</v>
      </c>
      <c r="I90" s="332">
        <v>17446</v>
      </c>
      <c r="J90" s="332"/>
      <c r="K90" s="318">
        <f>I90+J90</f>
        <v>17446</v>
      </c>
    </row>
    <row r="91" spans="1:11" ht="12.75">
      <c r="A91" s="559"/>
      <c r="B91" s="338" t="s">
        <v>5</v>
      </c>
      <c r="C91" s="339" t="s">
        <v>209</v>
      </c>
      <c r="D91" s="340" t="s">
        <v>3</v>
      </c>
      <c r="E91" s="341" t="s">
        <v>3</v>
      </c>
      <c r="F91" s="341" t="s">
        <v>3</v>
      </c>
      <c r="G91" s="342" t="s">
        <v>210</v>
      </c>
      <c r="H91" s="285">
        <f>H92</f>
        <v>4400</v>
      </c>
      <c r="I91" s="285">
        <f>I92</f>
        <v>4400</v>
      </c>
      <c r="J91" s="312">
        <f>SUM(J92:J92)</f>
        <v>0</v>
      </c>
      <c r="K91" s="313">
        <f>SUM(K92:K92)</f>
        <v>4400</v>
      </c>
    </row>
    <row r="92" spans="1:11" ht="13.5" thickBot="1">
      <c r="A92" s="559"/>
      <c r="B92" s="343"/>
      <c r="C92" s="344"/>
      <c r="D92" s="345">
        <v>2212</v>
      </c>
      <c r="E92" s="346">
        <v>6121</v>
      </c>
      <c r="F92" s="346" t="s">
        <v>183</v>
      </c>
      <c r="G92" s="254" t="s">
        <v>190</v>
      </c>
      <c r="H92" s="43">
        <v>4400</v>
      </c>
      <c r="I92" s="43">
        <v>4400</v>
      </c>
      <c r="J92" s="129"/>
      <c r="K92" s="318">
        <f>I92+J92</f>
        <v>4400</v>
      </c>
    </row>
    <row r="93" spans="1:11" ht="12.75">
      <c r="A93" s="559"/>
      <c r="B93" s="338" t="s">
        <v>5</v>
      </c>
      <c r="C93" s="339" t="s">
        <v>211</v>
      </c>
      <c r="D93" s="340" t="s">
        <v>3</v>
      </c>
      <c r="E93" s="341" t="s">
        <v>3</v>
      </c>
      <c r="F93" s="341" t="s">
        <v>3</v>
      </c>
      <c r="G93" s="255" t="s">
        <v>212</v>
      </c>
      <c r="H93" s="285">
        <f>H94</f>
        <v>2300</v>
      </c>
      <c r="I93" s="285">
        <f>I94</f>
        <v>2300</v>
      </c>
      <c r="J93" s="312">
        <f>SUM(J94:J94)</f>
        <v>0</v>
      </c>
      <c r="K93" s="313">
        <f>SUM(K94:K94)</f>
        <v>2300</v>
      </c>
    </row>
    <row r="94" spans="1:11" ht="13.5" thickBot="1">
      <c r="A94" s="559"/>
      <c r="B94" s="343"/>
      <c r="C94" s="344"/>
      <c r="D94" s="345">
        <v>2212</v>
      </c>
      <c r="E94" s="346">
        <v>6121</v>
      </c>
      <c r="F94" s="346" t="s">
        <v>183</v>
      </c>
      <c r="G94" s="254" t="s">
        <v>190</v>
      </c>
      <c r="H94" s="43">
        <v>2300</v>
      </c>
      <c r="I94" s="43">
        <v>2300</v>
      </c>
      <c r="J94" s="323"/>
      <c r="K94" s="318">
        <f>I94+J94</f>
        <v>2300</v>
      </c>
    </row>
    <row r="95" spans="1:11" ht="12.75">
      <c r="A95" s="559"/>
      <c r="B95" s="338" t="s">
        <v>5</v>
      </c>
      <c r="C95" s="339" t="s">
        <v>213</v>
      </c>
      <c r="D95" s="340" t="s">
        <v>3</v>
      </c>
      <c r="E95" s="341" t="s">
        <v>3</v>
      </c>
      <c r="F95" s="341" t="s">
        <v>3</v>
      </c>
      <c r="G95" s="255" t="s">
        <v>214</v>
      </c>
      <c r="H95" s="285">
        <f>H96</f>
        <v>3300</v>
      </c>
      <c r="I95" s="285">
        <f>I96</f>
        <v>3300</v>
      </c>
      <c r="J95" s="312">
        <f>SUM(J96:J96)</f>
        <v>0</v>
      </c>
      <c r="K95" s="313">
        <f>SUM(K96:K96)</f>
        <v>3300</v>
      </c>
    </row>
    <row r="96" spans="1:11" ht="13.5" thickBot="1">
      <c r="A96" s="559"/>
      <c r="B96" s="343"/>
      <c r="C96" s="344"/>
      <c r="D96" s="345">
        <v>2212</v>
      </c>
      <c r="E96" s="346">
        <v>6121</v>
      </c>
      <c r="F96" s="346" t="s">
        <v>183</v>
      </c>
      <c r="G96" s="254" t="s">
        <v>190</v>
      </c>
      <c r="H96" s="43">
        <v>3300</v>
      </c>
      <c r="I96" s="43">
        <v>3300</v>
      </c>
      <c r="J96" s="323"/>
      <c r="K96" s="318">
        <f>I96+J96</f>
        <v>3300</v>
      </c>
    </row>
    <row r="97" spans="1:11" ht="20.25">
      <c r="A97" s="559"/>
      <c r="B97" s="338" t="s">
        <v>5</v>
      </c>
      <c r="C97" s="339" t="s">
        <v>218</v>
      </c>
      <c r="D97" s="340" t="s">
        <v>3</v>
      </c>
      <c r="E97" s="341" t="s">
        <v>3</v>
      </c>
      <c r="F97" s="341" t="s">
        <v>3</v>
      </c>
      <c r="G97" s="351" t="s">
        <v>219</v>
      </c>
      <c r="H97" s="285">
        <f>H98</f>
        <v>0</v>
      </c>
      <c r="I97" s="285">
        <f>I98</f>
        <v>300</v>
      </c>
      <c r="J97" s="312">
        <f>SUM(J98:J98)</f>
        <v>0</v>
      </c>
      <c r="K97" s="313">
        <f>SUM(K98:K98)</f>
        <v>300</v>
      </c>
    </row>
    <row r="98" spans="1:11" ht="13.5" thickBot="1">
      <c r="A98" s="559"/>
      <c r="B98" s="343"/>
      <c r="C98" s="344"/>
      <c r="D98" s="345">
        <v>2212</v>
      </c>
      <c r="E98" s="346">
        <v>6121</v>
      </c>
      <c r="F98" s="346" t="s">
        <v>183</v>
      </c>
      <c r="G98" s="254" t="s">
        <v>190</v>
      </c>
      <c r="H98" s="43">
        <v>0</v>
      </c>
      <c r="I98" s="43">
        <v>300</v>
      </c>
      <c r="J98" s="323"/>
      <c r="K98" s="318">
        <f>I98+J98</f>
        <v>300</v>
      </c>
    </row>
    <row r="99" spans="1:11" ht="12.75">
      <c r="A99" s="559"/>
      <c r="B99" s="338" t="s">
        <v>5</v>
      </c>
      <c r="C99" s="339" t="s">
        <v>215</v>
      </c>
      <c r="D99" s="340" t="s">
        <v>3</v>
      </c>
      <c r="E99" s="341" t="s">
        <v>3</v>
      </c>
      <c r="F99" s="347"/>
      <c r="G99" s="342" t="s">
        <v>216</v>
      </c>
      <c r="H99" s="313">
        <f>SUM(H100:H100)</f>
        <v>0</v>
      </c>
      <c r="I99" s="313">
        <f>SUM(I100:I100)</f>
        <v>100</v>
      </c>
      <c r="J99" s="312">
        <f>SUM(J100:J100)</f>
        <v>0</v>
      </c>
      <c r="K99" s="313">
        <f>SUM(K100:K100)</f>
        <v>100</v>
      </c>
    </row>
    <row r="100" spans="1:11" ht="13.5" thickBot="1">
      <c r="A100" s="560"/>
      <c r="B100" s="343"/>
      <c r="C100" s="344"/>
      <c r="D100" s="345">
        <v>6310</v>
      </c>
      <c r="E100" s="346">
        <v>5909</v>
      </c>
      <c r="F100" s="348"/>
      <c r="G100" s="349" t="s">
        <v>217</v>
      </c>
      <c r="H100" s="1">
        <v>0</v>
      </c>
      <c r="I100" s="1">
        <v>100</v>
      </c>
      <c r="J100" s="323"/>
      <c r="K100" s="318">
        <f>I100+J100</f>
        <v>100</v>
      </c>
    </row>
    <row r="101" ht="12.75">
      <c r="I101" s="350"/>
    </row>
  </sheetData>
  <sheetProtection/>
  <mergeCells count="14">
    <mergeCell ref="J7:K7"/>
    <mergeCell ref="A9:A100"/>
    <mergeCell ref="A1:K1"/>
    <mergeCell ref="A3:K3"/>
    <mergeCell ref="A5:K5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.31496062992125984" right="0.31496062992125984" top="0.7874015748031497" bottom="0.5118110236220472" header="0.31496062992125984" footer="0.2362204724409449"/>
  <pageSetup fitToHeight="2" horizontalDpi="600" verticalDpi="600" orientation="portrait" paperSize="9" scale="89" r:id="rId1"/>
  <headerFooter>
    <oddHeader>&amp;R&amp;F</oddHeader>
    <oddFooter>&amp;C&amp;A</oddFooter>
  </headerFooter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2015-06-16T06:29:42Z</cp:lastPrinted>
  <dcterms:created xsi:type="dcterms:W3CDTF">2006-09-25T08:49:57Z</dcterms:created>
  <dcterms:modified xsi:type="dcterms:W3CDTF">2015-06-24T07:20:57Z</dcterms:modified>
  <cp:category/>
  <cp:version/>
  <cp:contentType/>
  <cp:contentStatus/>
</cp:coreProperties>
</file>