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7752"/>
  </bookViews>
  <sheets>
    <sheet name="Nástroj pro výpočet příplatku" sheetId="1" r:id="rId1"/>
  </sheets>
  <definedNames>
    <definedName name="_xlnm.Print_Area" localSheetId="0">'Nástroj pro výpočet příplatku'!$A$1:$J$63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1" l="1"/>
  <c r="E7" i="1"/>
  <c r="G7" i="1"/>
  <c r="I46" i="1"/>
  <c r="D36" i="1"/>
  <c r="D39" i="1"/>
  <c r="E33" i="1"/>
  <c r="G33" i="1"/>
  <c r="E32" i="1"/>
  <c r="F32" i="1"/>
  <c r="D34" i="1"/>
  <c r="G34" i="1"/>
  <c r="D37" i="1"/>
  <c r="D50" i="1"/>
  <c r="E6" i="1"/>
  <c r="D51" i="1"/>
  <c r="D52" i="1"/>
  <c r="E11" i="1"/>
  <c r="E10" i="1"/>
  <c r="E52" i="1"/>
  <c r="I34" i="1"/>
  <c r="H34" i="1"/>
  <c r="H32" i="1"/>
  <c r="G32" i="1"/>
  <c r="E51" i="1"/>
  <c r="H7" i="1"/>
  <c r="G8" i="1"/>
  <c r="F51" i="1"/>
  <c r="E53" i="1"/>
  <c r="G35" i="1"/>
  <c r="E35" i="1"/>
  <c r="I32" i="1"/>
  <c r="H10" i="1"/>
  <c r="H8" i="1"/>
  <c r="G9" i="1"/>
  <c r="E27" i="1"/>
  <c r="F24" i="1"/>
  <c r="E24" i="1"/>
  <c r="F25" i="1"/>
  <c r="E25" i="1"/>
  <c r="G11" i="1"/>
  <c r="H62" i="1"/>
  <c r="F62" i="1"/>
  <c r="E36" i="1"/>
  <c r="G36" i="1"/>
  <c r="G37" i="1"/>
  <c r="E54" i="1"/>
  <c r="I51" i="1"/>
  <c r="G24" i="1"/>
  <c r="G25" i="1"/>
  <c r="G12" i="1"/>
  <c r="G13" i="1"/>
  <c r="G14" i="1"/>
  <c r="E55" i="1"/>
  <c r="E56" i="1"/>
  <c r="G38" i="1"/>
  <c r="E37" i="1"/>
  <c r="E38" i="1"/>
  <c r="F26" i="1"/>
  <c r="F33" i="1"/>
  <c r="G22" i="1"/>
  <c r="G52" i="1"/>
  <c r="H9" i="1"/>
  <c r="H11" i="1"/>
  <c r="H12" i="1"/>
  <c r="F27" i="1"/>
  <c r="G27" i="1"/>
  <c r="G26" i="1"/>
  <c r="H33" i="1"/>
  <c r="H13" i="1"/>
  <c r="H14" i="1"/>
  <c r="H16" i="1"/>
  <c r="F52" i="1"/>
  <c r="I33" i="1"/>
  <c r="H35" i="1"/>
  <c r="I35" i="1"/>
  <c r="G15" i="1"/>
  <c r="H17" i="1"/>
  <c r="I52" i="1"/>
  <c r="F53" i="1"/>
  <c r="I53" i="1"/>
  <c r="F35" i="1"/>
  <c r="F54" i="1"/>
  <c r="I54" i="1"/>
  <c r="F36" i="1"/>
  <c r="H36" i="1"/>
  <c r="H37" i="1"/>
  <c r="I62" i="1"/>
  <c r="G62" i="1"/>
  <c r="I36" i="1"/>
  <c r="F55" i="1"/>
  <c r="I37" i="1"/>
  <c r="H38" i="1"/>
  <c r="I38" i="1"/>
  <c r="F37" i="1"/>
  <c r="I57" i="1"/>
  <c r="I55" i="1"/>
  <c r="F56" i="1"/>
  <c r="F38" i="1"/>
  <c r="H52" i="1"/>
  <c r="F57" i="1"/>
  <c r="I56" i="1"/>
</calcChain>
</file>

<file path=xl/comments1.xml><?xml version="1.0" encoding="utf-8"?>
<comments xmlns="http://schemas.openxmlformats.org/spreadsheetml/2006/main">
  <authors>
    <author>25</author>
  </authors>
  <commentList>
    <comment ref="C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Kdo všechno tam patří? Automechanici? Údržba - umyvači a uklízeči?
</t>
        </r>
      </text>
    </comment>
    <comment ref="C30" authorId="0">
      <text>
        <r>
          <rPr>
            <b/>
            <sz val="9"/>
            <color indexed="81"/>
            <rFont val="Tahoma"/>
            <family val="2"/>
            <charset val="238"/>
          </rPr>
          <t>Obsahuje pouze zákonné položky</t>
        </r>
      </text>
    </comment>
    <comment ref="F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Čekání je placeno až při dosažení celkové doby 1,5 hod/den
</t>
        </r>
      </text>
    </comment>
    <comment ref="I3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Zákonný příplatek ři splnění definovaných podmínek
</t>
        </r>
      </text>
    </comment>
    <comment ref="C3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Denní ošetření a kontrola vozidla, zákonné bezpečnostní přestávky a technologické časy (uzavření pokladny, předání tržby…)
+ Mzdové náklady na ostatní personál přímo se pdílející na zajištění dopravní činnosti.
</t>
        </r>
      </text>
    </comment>
    <comment ref="D36" authorId="0">
      <text>
        <r>
          <rPr>
            <b/>
            <sz val="9"/>
            <color indexed="81"/>
            <rFont val="Tahoma"/>
            <family val="2"/>
            <charset val="238"/>
          </rPr>
          <t>Podíl na celkových vyplacených mzdových nákladech předmětné kategorie pracovníků</t>
        </r>
      </text>
    </comment>
    <comment ref="D4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Přímé mzdy 
Zahrnuje náklady na mzdy řidičů, technicko hospodářských pracovníků, plně řídících autobusovou dopravu, a ostatních zaměstnanců, zabezpečujících provoz autobusové dopravy (revizoři, přepravní pokladny, informátoři, průvodčí, uklízečky, pracovníci autobusových nádraží atd.). Nesmí zde být účtovány mzdy režijních a dalších pracovníků, ty musí být zahrnuty v položce „režijní náklady“.
</t>
        </r>
      </text>
    </comment>
    <comment ref="I4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Hodnotu ovlivňuje náročnost zadání zakázky (požadavky na službu dispečinku, počet informačních kanceláří a pokladen atd.)
Vzhledem k tomu, že kalkulace má určit minimální mzdu danou pro danou kategorii pracovníků zákonem, je podíl počtu ostatních pracovníků shodný s podílem výše příslušných mzdových prostředků.
</t>
        </r>
      </text>
    </comment>
  </commentList>
</comments>
</file>

<file path=xl/sharedStrings.xml><?xml version="1.0" encoding="utf-8"?>
<sst xmlns="http://schemas.openxmlformats.org/spreadsheetml/2006/main" count="87" uniqueCount="69">
  <si>
    <t>aktuální hodnoty</t>
  </si>
  <si>
    <t>po novele</t>
  </si>
  <si>
    <t>zaručená mzda</t>
  </si>
  <si>
    <t>čekání</t>
  </si>
  <si>
    <t>Čekání</t>
  </si>
  <si>
    <t>Příplatky</t>
  </si>
  <si>
    <t>počet hodin</t>
  </si>
  <si>
    <t>nárůst</t>
  </si>
  <si>
    <t>při dělené směně</t>
  </si>
  <si>
    <t>zaručená s přípl.</t>
  </si>
  <si>
    <t>Příklad výpočtu denní mzdy</t>
  </si>
  <si>
    <t>Nárůst v %</t>
  </si>
  <si>
    <t>CELKEM</t>
  </si>
  <si>
    <t>Změny minimálních mezd řidičů</t>
  </si>
  <si>
    <t xml:space="preserve">  </t>
  </si>
  <si>
    <t>Výpočet měsíční mzdy a mzdových nákladů celkem</t>
  </si>
  <si>
    <t>Měsíční hrubá mzda celkem</t>
  </si>
  <si>
    <t>Mzdové náklady celkem</t>
  </si>
  <si>
    <t>Dopravce</t>
  </si>
  <si>
    <t>Doba čekání za období</t>
  </si>
  <si>
    <t>Příplatek v Kč/km</t>
  </si>
  <si>
    <t>hodin</t>
  </si>
  <si>
    <t>Ostatní přímý výkon práce</t>
  </si>
  <si>
    <t>Příplatky za ztížené podmínky</t>
  </si>
  <si>
    <t>Doba jízdy za období 1 roku</t>
  </si>
  <si>
    <t>Počet km dle JŘ</t>
  </si>
  <si>
    <t>dosavadní hodnoty</t>
  </si>
  <si>
    <t>Celkové minimální mzdové náklady</t>
  </si>
  <si>
    <t>Zaručená mzda v Kč/hod</t>
  </si>
  <si>
    <t xml:space="preserve">Zaručená mzda za den </t>
  </si>
  <si>
    <t>Nárůst</t>
  </si>
  <si>
    <t>Náklady variabilní části mezd na km</t>
  </si>
  <si>
    <t>Poznámka:</t>
  </si>
  <si>
    <t>Přepočet při prům.rychl.v km/hod</t>
  </si>
  <si>
    <t>Počet km za den</t>
  </si>
  <si>
    <t>Podíl čekání na mzdách (za hod)</t>
  </si>
  <si>
    <t>Startovací hodnota</t>
  </si>
  <si>
    <t>Upravený příplatek v Kč/km</t>
  </si>
  <si>
    <t>přípl.za ztížené podmínky</t>
  </si>
  <si>
    <t>Přímý výkon (jízda, DODK, bezp.p.)</t>
  </si>
  <si>
    <t>Varibilní mzda celkem</t>
  </si>
  <si>
    <t>Příplatky za So, Ne a Sv</t>
  </si>
  <si>
    <t>Náhradu za povinné zdravotní prohlídky a školení</t>
  </si>
  <si>
    <t>Náhradu za nemocenskou hrazenou zaměstnavatelem</t>
  </si>
  <si>
    <t>Rezervu na dovolenou</t>
  </si>
  <si>
    <t>Příplatky za práci v noci</t>
  </si>
  <si>
    <t>10% průměrného výdělku</t>
  </si>
  <si>
    <t>15% průměrného výdělku</t>
  </si>
  <si>
    <t>90% z čisté mzdy</t>
  </si>
  <si>
    <t>Podíl na celkových mzdách</t>
  </si>
  <si>
    <t>Jízda vč. bezp. přestávek a DODK</t>
  </si>
  <si>
    <t>CELKEM NÁKL. NA HRUBÉ MZDY</t>
  </si>
  <si>
    <t>Odvody plateb SP a ZP</t>
  </si>
  <si>
    <t>Minimální mzdové náklady v přepočtu na 1 km dle JŘ</t>
  </si>
  <si>
    <t>HRUBÉ MZDY VČETNĚ ODVODŮ</t>
  </si>
  <si>
    <t>poměr mzdy za čekání a přímou práci</t>
  </si>
  <si>
    <t>Změna v %</t>
  </si>
  <si>
    <t>Variabilní složka hrubé mzdy řidiče</t>
  </si>
  <si>
    <t>Variab.složka mzdy včetně odvodů</t>
  </si>
  <si>
    <t>Počet ostatních pracovníků přímo se podílejících na zajištění dopravní obslužnosti v rozsahu dle Pokynu k výkazu Dop(MD) 2-04</t>
  </si>
  <si>
    <t xml:space="preserve">Fixní složka mezd řidičů obsahuje </t>
  </si>
  <si>
    <t>Fixní složka mezd dále obsahuje mzdy ostatních pracovníků definovaných zákonem</t>
  </si>
  <si>
    <t>Fix.složka mzd.nákl. (školení, zdr.prohl.,rezerva na dovolenou...)</t>
  </si>
  <si>
    <t>Fond pracovní doby (hodin)</t>
  </si>
  <si>
    <t>Mzdové náklady na jednoho řidiče měsíčně celkem vč.odvodů a ostatních fixních mzdových nákladů</t>
  </si>
  <si>
    <t>Fixní náklady (Zák.náhrady a dovolená)</t>
  </si>
  <si>
    <t>Firma dopravce</t>
  </si>
  <si>
    <t>Metodické doporučení k reakci na Nařízení vlády č. 336/2017 a 337/2016 Sb. - Nástroj pro výpočet příplatku</t>
  </si>
  <si>
    <t>(Vyplňte pouze Modrou tabulku a její editovatelná políčka na základě údajů vypočtených z jízdních řádů)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</si>
</sst>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3" fontId="2" fillId="4" borderId="1" xfId="0" applyNumberFormat="1" applyFont="1" applyFill="1" applyBorder="1" applyProtection="1">
      <protection locked="0"/>
    </xf>
    <xf numFmtId="9" fontId="2" fillId="0" borderId="0" xfId="0" applyNumberFormat="1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right"/>
      <protection locked="0"/>
    </xf>
    <xf numFmtId="164" fontId="4" fillId="0" borderId="1" xfId="1" applyNumberFormat="1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9" fontId="2" fillId="0" borderId="0" xfId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3" borderId="0" xfId="0" applyFont="1" applyFill="1" applyProtection="1"/>
    <xf numFmtId="0" fontId="2" fillId="3" borderId="0" xfId="0" applyFont="1" applyFill="1" applyAlignment="1" applyProtection="1">
      <alignment horizontal="center"/>
    </xf>
    <xf numFmtId="4" fontId="2" fillId="3" borderId="0" xfId="0" applyNumberFormat="1" applyFont="1" applyFill="1" applyProtection="1"/>
    <xf numFmtId="4" fontId="2" fillId="3" borderId="0" xfId="0" applyNumberFormat="1" applyFont="1" applyFill="1" applyAlignment="1" applyProtection="1">
      <alignment horizontal="center"/>
    </xf>
    <xf numFmtId="164" fontId="2" fillId="3" borderId="0" xfId="1" applyNumberFormat="1" applyFont="1" applyFill="1" applyProtection="1"/>
    <xf numFmtId="0" fontId="6" fillId="3" borderId="0" xfId="0" applyFont="1" applyFill="1" applyProtection="1"/>
    <xf numFmtId="0" fontId="6" fillId="3" borderId="0" xfId="0" applyFont="1" applyFill="1" applyAlignment="1" applyProtection="1">
      <alignment horizontal="center"/>
    </xf>
    <xf numFmtId="0" fontId="6" fillId="3" borderId="0" xfId="0" applyFont="1" applyFill="1" applyAlignment="1" applyProtection="1">
      <alignment horizontal="right"/>
    </xf>
    <xf numFmtId="4" fontId="6" fillId="3" borderId="0" xfId="0" applyNumberFormat="1" applyFont="1" applyFill="1" applyProtection="1"/>
    <xf numFmtId="0" fontId="2" fillId="0" borderId="0" xfId="0" applyFont="1" applyProtection="1"/>
    <xf numFmtId="0" fontId="7" fillId="0" borderId="0" xfId="0" applyFont="1" applyAlignment="1" applyProtection="1">
      <alignment horizontal="center"/>
    </xf>
    <xf numFmtId="4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4" fontId="2" fillId="0" borderId="1" xfId="0" applyNumberFormat="1" applyFont="1" applyBorder="1" applyProtection="1"/>
    <xf numFmtId="4" fontId="6" fillId="0" borderId="1" xfId="0" applyNumberFormat="1" applyFont="1" applyBorder="1" applyProtection="1"/>
    <xf numFmtId="9" fontId="6" fillId="0" borderId="1" xfId="1" applyNumberFormat="1" applyFont="1" applyBorder="1" applyProtection="1"/>
    <xf numFmtId="9" fontId="6" fillId="0" borderId="1" xfId="0" applyNumberFormat="1" applyFont="1" applyBorder="1" applyProtection="1"/>
    <xf numFmtId="9" fontId="2" fillId="0" borderId="0" xfId="1" applyNumberFormat="1" applyFont="1" applyProtection="1"/>
    <xf numFmtId="0" fontId="2" fillId="5" borderId="0" xfId="0" applyFont="1" applyFill="1" applyProtection="1">
      <protection locked="0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4" fontId="2" fillId="2" borderId="0" xfId="0" applyNumberFormat="1" applyFont="1" applyFill="1" applyProtection="1"/>
    <xf numFmtId="9" fontId="2" fillId="2" borderId="0" xfId="1" applyNumberFormat="1" applyFont="1" applyFill="1" applyProtection="1"/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4" fontId="2" fillId="2" borderId="1" xfId="0" applyNumberFormat="1" applyFont="1" applyFill="1" applyBorder="1" applyProtection="1"/>
    <xf numFmtId="9" fontId="2" fillId="2" borderId="1" xfId="1" applyFont="1" applyFill="1" applyBorder="1" applyProtection="1"/>
    <xf numFmtId="4" fontId="4" fillId="2" borderId="1" xfId="0" applyNumberFormat="1" applyFont="1" applyFill="1" applyBorder="1" applyProtection="1"/>
    <xf numFmtId="0" fontId="6" fillId="2" borderId="1" xfId="0" applyFont="1" applyFill="1" applyBorder="1" applyProtection="1"/>
    <xf numFmtId="0" fontId="6" fillId="2" borderId="1" xfId="0" applyFont="1" applyFill="1" applyBorder="1" applyAlignment="1" applyProtection="1">
      <alignment horizontal="center"/>
    </xf>
    <xf numFmtId="4" fontId="6" fillId="2" borderId="1" xfId="0" applyNumberFormat="1" applyFont="1" applyFill="1" applyBorder="1" applyProtection="1"/>
    <xf numFmtId="4" fontId="8" fillId="2" borderId="1" xfId="0" applyNumberFormat="1" applyFont="1" applyFill="1" applyBorder="1" applyProtection="1"/>
    <xf numFmtId="9" fontId="6" fillId="2" borderId="1" xfId="1" applyFont="1" applyFill="1" applyBorder="1" applyProtection="1"/>
    <xf numFmtId="0" fontId="2" fillId="2" borderId="1" xfId="0" applyFont="1" applyFill="1" applyBorder="1" applyAlignment="1" applyProtection="1">
      <alignment wrapText="1"/>
    </xf>
    <xf numFmtId="164" fontId="2" fillId="2" borderId="1" xfId="0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vertical="center"/>
    </xf>
    <xf numFmtId="9" fontId="2" fillId="2" borderId="1" xfId="1" applyFont="1" applyFill="1" applyBorder="1" applyAlignment="1" applyProtection="1">
      <alignment vertical="center"/>
    </xf>
    <xf numFmtId="0" fontId="2" fillId="2" borderId="0" xfId="0" applyFont="1" applyFill="1" applyBorder="1" applyProtection="1"/>
    <xf numFmtId="0" fontId="3" fillId="2" borderId="0" xfId="0" applyFont="1" applyFill="1" applyProtection="1"/>
    <xf numFmtId="4" fontId="2" fillId="2" borderId="0" xfId="0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</xf>
    <xf numFmtId="0" fontId="4" fillId="2" borderId="0" xfId="0" applyFont="1" applyFill="1" applyProtection="1"/>
    <xf numFmtId="4" fontId="4" fillId="2" borderId="0" xfId="0" applyNumberFormat="1" applyFont="1" applyFill="1" applyBorder="1" applyProtection="1"/>
    <xf numFmtId="4" fontId="4" fillId="2" borderId="0" xfId="0" applyNumberFormat="1" applyFont="1" applyFill="1" applyBorder="1" applyAlignment="1" applyProtection="1">
      <alignment horizontal="right"/>
    </xf>
    <xf numFmtId="164" fontId="4" fillId="2" borderId="0" xfId="1" applyNumberFormat="1" applyFont="1" applyFill="1" applyBorder="1" applyProtection="1"/>
    <xf numFmtId="164" fontId="4" fillId="2" borderId="0" xfId="0" applyNumberFormat="1" applyFont="1" applyFill="1" applyProtection="1"/>
    <xf numFmtId="9" fontId="2" fillId="2" borderId="1" xfId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left" vertical="center"/>
    </xf>
    <xf numFmtId="0" fontId="7" fillId="2" borderId="5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left" wrapText="1"/>
    </xf>
    <xf numFmtId="0" fontId="4" fillId="2" borderId="0" xfId="0" applyFont="1" applyFill="1" applyAlignment="1" applyProtection="1">
      <alignment horizontal="left" vertical="top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4" fontId="3" fillId="0" borderId="9" xfId="0" applyNumberFormat="1" applyFont="1" applyBorder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center"/>
    </xf>
    <xf numFmtId="4" fontId="2" fillId="0" borderId="0" xfId="0" applyNumberFormat="1" applyFont="1" applyFill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left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CCFFCC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zoomScaleNormal="100" zoomScalePageLayoutView="70" workbookViewId="0">
      <selection activeCell="C73" sqref="C73"/>
    </sheetView>
  </sheetViews>
  <sheetFormatPr defaultColWidth="9.109375" defaultRowHeight="18" x14ac:dyDescent="0.35"/>
  <cols>
    <col min="1" max="1" width="1.44140625" style="2" customWidth="1"/>
    <col min="2" max="2" width="3.44140625" style="2" customWidth="1"/>
    <col min="3" max="3" width="40.109375" style="2" customWidth="1"/>
    <col min="4" max="4" width="15.109375" style="6" customWidth="1"/>
    <col min="5" max="7" width="23.6640625" style="2" customWidth="1"/>
    <col min="8" max="8" width="23.6640625" style="1" customWidth="1"/>
    <col min="9" max="9" width="23.6640625" style="2" customWidth="1"/>
    <col min="10" max="10" width="4.109375" style="2" customWidth="1"/>
    <col min="11" max="16384" width="9.109375" style="2"/>
  </cols>
  <sheetData>
    <row r="1" spans="1:10" ht="21" x14ac:dyDescent="0.35">
      <c r="A1" s="84" t="s">
        <v>67</v>
      </c>
      <c r="B1" s="85"/>
      <c r="C1" s="85"/>
      <c r="D1" s="85"/>
      <c r="E1" s="85"/>
      <c r="F1" s="85"/>
      <c r="G1" s="85"/>
    </row>
    <row r="2" spans="1:10" x14ac:dyDescent="0.35">
      <c r="C2" s="86" t="s">
        <v>68</v>
      </c>
      <c r="D2" s="86"/>
      <c r="E2" s="86"/>
      <c r="F2" s="86"/>
      <c r="G2" s="86"/>
    </row>
    <row r="3" spans="1:10" ht="18.899999999999999" x14ac:dyDescent="0.25">
      <c r="C3" s="3"/>
      <c r="D3" s="3"/>
      <c r="E3" s="3"/>
      <c r="F3" s="3"/>
      <c r="G3" s="3"/>
    </row>
    <row r="4" spans="1:10" ht="18.899999999999999" x14ac:dyDescent="0.25">
      <c r="B4" s="13"/>
      <c r="C4" s="13"/>
      <c r="D4" s="14"/>
      <c r="E4" s="15"/>
      <c r="F4" s="15"/>
      <c r="G4" s="15"/>
      <c r="H4" s="15"/>
      <c r="J4" s="33"/>
    </row>
    <row r="5" spans="1:10" ht="18.899999999999999" x14ac:dyDescent="0.25">
      <c r="B5" s="13"/>
      <c r="C5" s="13" t="s">
        <v>18</v>
      </c>
      <c r="D5" s="14"/>
      <c r="E5" s="89" t="s">
        <v>66</v>
      </c>
      <c r="F5" s="89"/>
      <c r="G5" s="89"/>
      <c r="H5" s="15"/>
    </row>
    <row r="6" spans="1:10" x14ac:dyDescent="0.35">
      <c r="B6" s="13"/>
      <c r="C6" s="13" t="s">
        <v>25</v>
      </c>
      <c r="D6" s="14"/>
      <c r="E6" s="4">
        <f>D50*365</f>
        <v>99280</v>
      </c>
      <c r="F6" s="15"/>
      <c r="G6" s="16" t="s">
        <v>26</v>
      </c>
      <c r="H6" s="16" t="s">
        <v>1</v>
      </c>
    </row>
    <row r="7" spans="1:10" x14ac:dyDescent="0.35">
      <c r="B7" s="13"/>
      <c r="C7" s="13" t="s">
        <v>24</v>
      </c>
      <c r="D7" s="14"/>
      <c r="E7" s="4">
        <f>D32*365-365</f>
        <v>2555</v>
      </c>
      <c r="F7" s="13" t="s">
        <v>21</v>
      </c>
      <c r="G7" s="15">
        <f>E7*E22</f>
        <v>182938</v>
      </c>
      <c r="H7" s="15">
        <f>E7*F22</f>
        <v>250645.5</v>
      </c>
    </row>
    <row r="8" spans="1:10" x14ac:dyDescent="0.35">
      <c r="B8" s="13"/>
      <c r="C8" s="13" t="s">
        <v>22</v>
      </c>
      <c r="D8" s="14"/>
      <c r="E8" s="4">
        <v>365</v>
      </c>
      <c r="F8" s="13" t="s">
        <v>21</v>
      </c>
      <c r="G8" s="15">
        <f>E8*E22</f>
        <v>26133.999999999996</v>
      </c>
      <c r="H8" s="15">
        <f>E8*F22</f>
        <v>35806.5</v>
      </c>
    </row>
    <row r="9" spans="1:10" x14ac:dyDescent="0.35">
      <c r="B9" s="13"/>
      <c r="C9" s="13" t="s">
        <v>19</v>
      </c>
      <c r="D9" s="14"/>
      <c r="E9" s="4">
        <f>D33*365</f>
        <v>730</v>
      </c>
      <c r="F9" s="15" t="s">
        <v>21</v>
      </c>
      <c r="G9" s="15">
        <f>E9*E26</f>
        <v>36500</v>
      </c>
      <c r="H9" s="15">
        <f>E9*F26</f>
        <v>64451.7</v>
      </c>
    </row>
    <row r="10" spans="1:10" x14ac:dyDescent="0.35">
      <c r="B10" s="13"/>
      <c r="C10" s="13" t="s">
        <v>23</v>
      </c>
      <c r="D10" s="14"/>
      <c r="E10" s="4">
        <f>D34*365</f>
        <v>2920</v>
      </c>
      <c r="F10" s="15" t="s">
        <v>21</v>
      </c>
      <c r="G10" s="15"/>
      <c r="H10" s="15">
        <f>E10*F23</f>
        <v>19272</v>
      </c>
    </row>
    <row r="11" spans="1:10" x14ac:dyDescent="0.35">
      <c r="B11" s="13"/>
      <c r="C11" s="13" t="s">
        <v>65</v>
      </c>
      <c r="D11" s="14"/>
      <c r="E11" s="17">
        <f>D36</f>
        <v>0.38800000000000001</v>
      </c>
      <c r="F11" s="15"/>
      <c r="G11" s="15">
        <f>SUM(G7:G10)/(1-E11)*E11</f>
        <v>155689.43790849674</v>
      </c>
      <c r="H11" s="15">
        <f>SUM(H7:H10)/(1-E11)*E11</f>
        <v>234686.5549019608</v>
      </c>
    </row>
    <row r="12" spans="1:10" ht="18.899999999999999" x14ac:dyDescent="0.25">
      <c r="B12" s="13"/>
      <c r="C12" s="13" t="s">
        <v>52</v>
      </c>
      <c r="D12" s="14"/>
      <c r="E12" s="17">
        <v>0.34</v>
      </c>
      <c r="F12" s="15"/>
      <c r="G12" s="15">
        <f>SUM(G7:G11)*E12</f>
        <v>136428.88888888888</v>
      </c>
      <c r="H12" s="15">
        <f>SUM(H7:H11)*E12</f>
        <v>205653.16666666672</v>
      </c>
    </row>
    <row r="13" spans="1:10" x14ac:dyDescent="0.35">
      <c r="B13" s="13"/>
      <c r="C13" s="13" t="s">
        <v>27</v>
      </c>
      <c r="D13" s="14"/>
      <c r="E13" s="13"/>
      <c r="F13" s="15"/>
      <c r="G13" s="15">
        <f>SUM(G7:G12)</f>
        <v>537690.32679738558</v>
      </c>
      <c r="H13" s="15">
        <f>SUM(H7:H12)</f>
        <v>810515.42156862759</v>
      </c>
    </row>
    <row r="14" spans="1:10" x14ac:dyDescent="0.35">
      <c r="B14" s="13"/>
      <c r="C14" s="13" t="s">
        <v>53</v>
      </c>
      <c r="D14" s="14"/>
      <c r="E14" s="13"/>
      <c r="F14" s="15"/>
      <c r="G14" s="15">
        <f>IF(E6&gt;0,G13/E6,0)</f>
        <v>5.4158977316416763</v>
      </c>
      <c r="H14" s="15">
        <f>IF(E6&gt;0,H13/E6,0)</f>
        <v>8.1639345444059987</v>
      </c>
    </row>
    <row r="15" spans="1:10" x14ac:dyDescent="0.35">
      <c r="B15" s="13"/>
      <c r="C15" s="13" t="s">
        <v>36</v>
      </c>
      <c r="D15" s="14"/>
      <c r="E15" s="5">
        <v>1.1000000000000001</v>
      </c>
      <c r="F15" s="15"/>
      <c r="G15" s="15">
        <f>G13*E15</f>
        <v>591459.35947712418</v>
      </c>
      <c r="H15" s="15"/>
    </row>
    <row r="16" spans="1:10" x14ac:dyDescent="0.35">
      <c r="B16" s="13"/>
      <c r="C16" s="18" t="s">
        <v>20</v>
      </c>
      <c r="D16" s="19"/>
      <c r="E16" s="18"/>
      <c r="F16" s="20"/>
      <c r="G16" s="15"/>
      <c r="H16" s="21">
        <f>IF(E6&gt;0,(H13-G13)/E6,0)</f>
        <v>2.7480368127643233</v>
      </c>
    </row>
    <row r="17" spans="1:10" x14ac:dyDescent="0.35">
      <c r="B17" s="13"/>
      <c r="C17" s="18" t="s">
        <v>37</v>
      </c>
      <c r="D17" s="19"/>
      <c r="E17" s="18"/>
      <c r="F17" s="20"/>
      <c r="G17" s="15"/>
      <c r="H17" s="21">
        <f>IF(E6&gt;0,(H13-G15)/E6,0)</f>
        <v>2.2064470396001554</v>
      </c>
    </row>
    <row r="18" spans="1:10" ht="18.899999999999999" x14ac:dyDescent="0.25">
      <c r="B18" s="13"/>
      <c r="C18" s="13"/>
      <c r="D18" s="14"/>
      <c r="E18" s="13"/>
      <c r="F18" s="13"/>
      <c r="G18" s="15"/>
      <c r="H18" s="15"/>
    </row>
    <row r="19" spans="1:10" ht="18.899999999999999" x14ac:dyDescent="0.25">
      <c r="B19" s="22"/>
      <c r="C19" s="23"/>
      <c r="D19" s="23"/>
      <c r="E19" s="23"/>
      <c r="F19" s="23"/>
      <c r="G19" s="23"/>
      <c r="H19" s="24"/>
      <c r="I19" s="22"/>
      <c r="J19" s="22"/>
    </row>
    <row r="20" spans="1:10" ht="18.899999999999999" x14ac:dyDescent="0.25">
      <c r="B20" s="22"/>
      <c r="C20" s="22"/>
      <c r="D20" s="25"/>
      <c r="E20" s="22"/>
      <c r="F20" s="22"/>
      <c r="G20" s="22"/>
      <c r="H20" s="24"/>
      <c r="I20" s="22"/>
      <c r="J20" s="22"/>
    </row>
    <row r="21" spans="1:10" x14ac:dyDescent="0.35">
      <c r="B21" s="22"/>
      <c r="C21" s="90" t="s">
        <v>13</v>
      </c>
      <c r="D21" s="90"/>
      <c r="E21" s="26" t="s">
        <v>0</v>
      </c>
      <c r="F21" s="27" t="s">
        <v>1</v>
      </c>
      <c r="G21" s="27" t="s">
        <v>7</v>
      </c>
      <c r="H21" s="87"/>
      <c r="I21" s="88"/>
      <c r="J21" s="88"/>
    </row>
    <row r="22" spans="1:10" x14ac:dyDescent="0.35">
      <c r="B22" s="22"/>
      <c r="C22" s="91" t="s">
        <v>2</v>
      </c>
      <c r="D22" s="92"/>
      <c r="E22" s="28">
        <v>71.599999999999994</v>
      </c>
      <c r="F22" s="29">
        <v>98.1</v>
      </c>
      <c r="G22" s="30">
        <f>F22/E22-1</f>
        <v>0.37011173184357538</v>
      </c>
      <c r="H22" s="24"/>
      <c r="I22" s="22"/>
      <c r="J22" s="22"/>
    </row>
    <row r="23" spans="1:10" x14ac:dyDescent="0.35">
      <c r="B23" s="22"/>
      <c r="C23" s="91" t="s">
        <v>38</v>
      </c>
      <c r="D23" s="92"/>
      <c r="E23" s="28">
        <v>0</v>
      </c>
      <c r="F23" s="29">
        <v>6.6</v>
      </c>
      <c r="G23" s="31">
        <v>0.1</v>
      </c>
      <c r="H23" s="24"/>
      <c r="I23" s="22"/>
      <c r="J23" s="22"/>
    </row>
    <row r="24" spans="1:10" x14ac:dyDescent="0.35">
      <c r="B24" s="22"/>
      <c r="C24" s="91" t="s">
        <v>9</v>
      </c>
      <c r="D24" s="92"/>
      <c r="E24" s="28">
        <f>SUM(E22:E23)</f>
        <v>71.599999999999994</v>
      </c>
      <c r="F24" s="29">
        <f>SUM(F22:F23)</f>
        <v>104.69999999999999</v>
      </c>
      <c r="G24" s="30">
        <f>F24/E24-1</f>
        <v>0.46229050279329598</v>
      </c>
      <c r="H24" s="24"/>
      <c r="I24" s="22"/>
      <c r="J24" s="22" t="s">
        <v>14</v>
      </c>
    </row>
    <row r="25" spans="1:10" x14ac:dyDescent="0.35">
      <c r="B25" s="22"/>
      <c r="C25" s="91" t="s">
        <v>8</v>
      </c>
      <c r="D25" s="92"/>
      <c r="E25" s="28">
        <f>E22*1.3</f>
        <v>93.08</v>
      </c>
      <c r="F25" s="29">
        <f>F22*1.3</f>
        <v>127.53</v>
      </c>
      <c r="G25" s="30">
        <f>F25/E25-1</f>
        <v>0.37011173184357538</v>
      </c>
      <c r="H25" s="24"/>
      <c r="I25" s="22"/>
      <c r="J25" s="22"/>
    </row>
    <row r="26" spans="1:10" x14ac:dyDescent="0.35">
      <c r="B26" s="22"/>
      <c r="C26" s="91" t="s">
        <v>3</v>
      </c>
      <c r="D26" s="92"/>
      <c r="E26" s="28">
        <v>50</v>
      </c>
      <c r="F26" s="29">
        <f>0.9*F22</f>
        <v>88.289999999999992</v>
      </c>
      <c r="G26" s="30">
        <f>F26/E26-1</f>
        <v>0.76579999999999981</v>
      </c>
      <c r="H26" s="24"/>
      <c r="I26" s="22"/>
      <c r="J26" s="22"/>
    </row>
    <row r="27" spans="1:10" x14ac:dyDescent="0.35">
      <c r="B27" s="22"/>
      <c r="C27" s="29" t="s">
        <v>55</v>
      </c>
      <c r="D27" s="26"/>
      <c r="E27" s="30">
        <f>E26/E22</f>
        <v>0.69832402234636881</v>
      </c>
      <c r="F27" s="30">
        <f>F26/F22</f>
        <v>0.9</v>
      </c>
      <c r="G27" s="30">
        <f>F27/E27-1</f>
        <v>0.28879999999999995</v>
      </c>
      <c r="H27" s="24"/>
      <c r="I27" s="22"/>
      <c r="J27" s="22"/>
    </row>
    <row r="28" spans="1:10" x14ac:dyDescent="0.35">
      <c r="A28" s="22"/>
      <c r="B28" s="22"/>
      <c r="C28" s="22"/>
      <c r="D28" s="25"/>
      <c r="E28" s="24"/>
      <c r="F28" s="24"/>
      <c r="G28" s="32"/>
      <c r="H28" s="24"/>
      <c r="I28" s="22"/>
      <c r="J28" s="22"/>
    </row>
    <row r="29" spans="1:10" x14ac:dyDescent="0.35">
      <c r="A29" s="22"/>
      <c r="B29" s="34"/>
      <c r="C29" s="34"/>
      <c r="D29" s="35"/>
      <c r="E29" s="36"/>
      <c r="F29" s="36"/>
      <c r="G29" s="37"/>
      <c r="H29" s="36"/>
      <c r="I29" s="34"/>
      <c r="J29" s="34"/>
    </row>
    <row r="30" spans="1:10" x14ac:dyDescent="0.35">
      <c r="A30" s="22"/>
      <c r="B30" s="34"/>
      <c r="C30" s="68" t="s">
        <v>10</v>
      </c>
      <c r="D30" s="66" t="s">
        <v>6</v>
      </c>
      <c r="E30" s="80" t="s">
        <v>28</v>
      </c>
      <c r="F30" s="81"/>
      <c r="G30" s="80" t="s">
        <v>29</v>
      </c>
      <c r="H30" s="81"/>
      <c r="I30" s="66" t="s">
        <v>11</v>
      </c>
      <c r="J30" s="34"/>
    </row>
    <row r="31" spans="1:10" x14ac:dyDescent="0.35">
      <c r="A31" s="22"/>
      <c r="B31" s="34"/>
      <c r="C31" s="69"/>
      <c r="D31" s="67"/>
      <c r="E31" s="38" t="s">
        <v>0</v>
      </c>
      <c r="F31" s="38" t="s">
        <v>1</v>
      </c>
      <c r="G31" s="38" t="s">
        <v>0</v>
      </c>
      <c r="H31" s="38" t="s">
        <v>1</v>
      </c>
      <c r="I31" s="67"/>
      <c r="J31" s="34"/>
    </row>
    <row r="32" spans="1:10" x14ac:dyDescent="0.35">
      <c r="A32" s="22"/>
      <c r="B32" s="34"/>
      <c r="C32" s="39" t="s">
        <v>50</v>
      </c>
      <c r="D32" s="7">
        <v>8</v>
      </c>
      <c r="E32" s="40">
        <f>E22</f>
        <v>71.599999999999994</v>
      </c>
      <c r="F32" s="40">
        <f>F22</f>
        <v>98.1</v>
      </c>
      <c r="G32" s="40">
        <f>D32*E32</f>
        <v>572.79999999999995</v>
      </c>
      <c r="H32" s="40">
        <f>D32*F32</f>
        <v>784.8</v>
      </c>
      <c r="I32" s="41">
        <f>H32/G32-1</f>
        <v>0.37011173184357538</v>
      </c>
      <c r="J32" s="34"/>
    </row>
    <row r="33" spans="1:10" x14ac:dyDescent="0.35">
      <c r="A33" s="22"/>
      <c r="B33" s="34"/>
      <c r="C33" s="39" t="s">
        <v>4</v>
      </c>
      <c r="D33" s="7">
        <v>2</v>
      </c>
      <c r="E33" s="40">
        <f>IF(D33&gt;1.5,E26,0)</f>
        <v>50</v>
      </c>
      <c r="F33" s="40">
        <f>IF(D33&gt;1.5,F26,0)</f>
        <v>88.289999999999992</v>
      </c>
      <c r="G33" s="40">
        <f t="shared" ref="G33" si="0">D33*E33</f>
        <v>100</v>
      </c>
      <c r="H33" s="40">
        <f>D33*F33</f>
        <v>176.57999999999998</v>
      </c>
      <c r="I33" s="41">
        <f>IF(G33&gt;0,H33/G33-1,0)</f>
        <v>0.76579999999999981</v>
      </c>
      <c r="J33" s="34"/>
    </row>
    <row r="34" spans="1:10" x14ac:dyDescent="0.35">
      <c r="A34" s="22"/>
      <c r="B34" s="34"/>
      <c r="C34" s="39" t="s">
        <v>5</v>
      </c>
      <c r="D34" s="38">
        <f>IF(D33&gt;1.5,D32,0)</f>
        <v>8</v>
      </c>
      <c r="E34" s="40">
        <v>0</v>
      </c>
      <c r="F34" s="42">
        <v>6.6</v>
      </c>
      <c r="G34" s="40">
        <f>D34*E34</f>
        <v>0</v>
      </c>
      <c r="H34" s="40">
        <f>D34*F34</f>
        <v>52.8</v>
      </c>
      <c r="I34" s="41">
        <f>IF(D34&gt;0,10%,0)</f>
        <v>0.1</v>
      </c>
      <c r="J34" s="34"/>
    </row>
    <row r="35" spans="1:10" x14ac:dyDescent="0.35">
      <c r="A35" s="22"/>
      <c r="B35" s="34"/>
      <c r="C35" s="43" t="s">
        <v>40</v>
      </c>
      <c r="D35" s="44"/>
      <c r="E35" s="45">
        <f>G35/D32</f>
        <v>84.1</v>
      </c>
      <c r="F35" s="46">
        <f>H35/D32</f>
        <v>126.77249999999998</v>
      </c>
      <c r="G35" s="45">
        <f>SUM(G32:G34)</f>
        <v>672.8</v>
      </c>
      <c r="H35" s="45">
        <f>SUM(H32:H34)</f>
        <v>1014.1799999999998</v>
      </c>
      <c r="I35" s="47">
        <f>H35/G35-1</f>
        <v>0.5074019024970271</v>
      </c>
      <c r="J35" s="34"/>
    </row>
    <row r="36" spans="1:10" ht="36.75" customHeight="1" x14ac:dyDescent="0.35">
      <c r="A36" s="22"/>
      <c r="B36" s="34"/>
      <c r="C36" s="48" t="s">
        <v>62</v>
      </c>
      <c r="D36" s="49">
        <f>I46</f>
        <v>0.38800000000000001</v>
      </c>
      <c r="E36" s="50">
        <f>E35/(1-D36)*D36</f>
        <v>53.318300653594775</v>
      </c>
      <c r="F36" s="50">
        <f>F35/(1-D36)*D36</f>
        <v>80.372107843137243</v>
      </c>
      <c r="G36" s="50">
        <f>E36*8</f>
        <v>426.5464052287582</v>
      </c>
      <c r="H36" s="50">
        <f>F36*8</f>
        <v>642.97686274509795</v>
      </c>
      <c r="I36" s="51">
        <f>H36/G36-1</f>
        <v>0.5074019024970271</v>
      </c>
      <c r="J36" s="34"/>
    </row>
    <row r="37" spans="1:10" x14ac:dyDescent="0.35">
      <c r="A37" s="22"/>
      <c r="B37" s="34"/>
      <c r="C37" s="39" t="s">
        <v>51</v>
      </c>
      <c r="D37" s="38">
        <f>SUM(D32:D33)</f>
        <v>10</v>
      </c>
      <c r="E37" s="40">
        <f>G37/D32</f>
        <v>137.41830065359477</v>
      </c>
      <c r="F37" s="40">
        <f>H37/D32</f>
        <v>207.14460784313724</v>
      </c>
      <c r="G37" s="40">
        <f>SUM(G35:G36)</f>
        <v>1099.3464052287582</v>
      </c>
      <c r="H37" s="40">
        <f>SUM(H35:H36)</f>
        <v>1657.1568627450979</v>
      </c>
      <c r="I37" s="41">
        <f>H37/G37-1</f>
        <v>0.50740190249702732</v>
      </c>
      <c r="J37" s="34"/>
    </row>
    <row r="38" spans="1:10" x14ac:dyDescent="0.35">
      <c r="A38" s="22"/>
      <c r="B38" s="34"/>
      <c r="C38" s="39" t="s">
        <v>54</v>
      </c>
      <c r="D38" s="38">
        <v>12</v>
      </c>
      <c r="E38" s="40">
        <f>E37*1.34</f>
        <v>184.140522875817</v>
      </c>
      <c r="F38" s="40">
        <f t="shared" ref="F38:H38" si="1">F37*1.34</f>
        <v>277.57377450980391</v>
      </c>
      <c r="G38" s="40">
        <f t="shared" si="1"/>
        <v>1473.124183006536</v>
      </c>
      <c r="H38" s="40">
        <f t="shared" si="1"/>
        <v>2220.5901960784313</v>
      </c>
      <c r="I38" s="41">
        <f>H38/G38-1</f>
        <v>0.50740190249702732</v>
      </c>
      <c r="J38" s="34"/>
    </row>
    <row r="39" spans="1:10" x14ac:dyDescent="0.35">
      <c r="A39" s="22"/>
      <c r="B39" s="34"/>
      <c r="C39" s="52" t="s">
        <v>32</v>
      </c>
      <c r="D39" s="53" t="str">
        <f>IF((D32+D36)&lt;8,"Není naplněn fond pracovní doby!","")</f>
        <v/>
      </c>
      <c r="E39" s="54"/>
      <c r="F39" s="54"/>
      <c r="G39" s="54"/>
      <c r="H39" s="54"/>
      <c r="I39" s="55" t="s">
        <v>49</v>
      </c>
      <c r="J39" s="34"/>
    </row>
    <row r="40" spans="1:10" x14ac:dyDescent="0.35">
      <c r="A40" s="22"/>
      <c r="B40" s="34"/>
      <c r="C40" s="56" t="s">
        <v>60</v>
      </c>
      <c r="D40" s="57" t="s">
        <v>41</v>
      </c>
      <c r="E40" s="57"/>
      <c r="F40" s="57"/>
      <c r="G40" s="58" t="s">
        <v>47</v>
      </c>
      <c r="H40" s="59"/>
      <c r="I40" s="8">
        <v>8.9999999999999993E-3</v>
      </c>
      <c r="J40" s="34"/>
    </row>
    <row r="41" spans="1:10" x14ac:dyDescent="0.35">
      <c r="A41" s="22"/>
      <c r="B41" s="34"/>
      <c r="C41" s="56"/>
      <c r="D41" s="57" t="s">
        <v>45</v>
      </c>
      <c r="E41" s="57"/>
      <c r="F41" s="57"/>
      <c r="G41" s="58" t="s">
        <v>46</v>
      </c>
      <c r="H41" s="59"/>
      <c r="I41" s="8">
        <v>1.6E-2</v>
      </c>
      <c r="J41" s="34"/>
    </row>
    <row r="42" spans="1:10" x14ac:dyDescent="0.35">
      <c r="A42" s="22"/>
      <c r="B42" s="34"/>
      <c r="C42" s="56"/>
      <c r="D42" s="57" t="s">
        <v>42</v>
      </c>
      <c r="E42" s="57"/>
      <c r="F42" s="57"/>
      <c r="G42" s="58"/>
      <c r="H42" s="59"/>
      <c r="I42" s="8">
        <v>2.3E-2</v>
      </c>
      <c r="J42" s="34"/>
    </row>
    <row r="43" spans="1:10" x14ac:dyDescent="0.35">
      <c r="A43" s="22"/>
      <c r="B43" s="34"/>
      <c r="C43" s="56"/>
      <c r="D43" s="57" t="s">
        <v>43</v>
      </c>
      <c r="E43" s="57"/>
      <c r="F43" s="57"/>
      <c r="G43" s="58" t="s">
        <v>48</v>
      </c>
      <c r="H43" s="59"/>
      <c r="I43" s="8">
        <v>2.7E-2</v>
      </c>
      <c r="J43" s="34"/>
    </row>
    <row r="44" spans="1:10" x14ac:dyDescent="0.35">
      <c r="A44" s="22"/>
      <c r="B44" s="34"/>
      <c r="C44" s="56"/>
      <c r="D44" s="57" t="s">
        <v>44</v>
      </c>
      <c r="E44" s="57"/>
      <c r="F44" s="57"/>
      <c r="G44" s="58"/>
      <c r="H44" s="59"/>
      <c r="I44" s="8">
        <v>0.113</v>
      </c>
      <c r="J44" s="34"/>
    </row>
    <row r="45" spans="1:10" ht="37.5" customHeight="1" x14ac:dyDescent="0.35">
      <c r="A45" s="22"/>
      <c r="B45" s="34"/>
      <c r="C45" s="83" t="s">
        <v>61</v>
      </c>
      <c r="D45" s="82" t="s">
        <v>59</v>
      </c>
      <c r="E45" s="82"/>
      <c r="F45" s="82"/>
      <c r="G45" s="82"/>
      <c r="H45" s="59"/>
      <c r="I45" s="9">
        <v>0.2</v>
      </c>
      <c r="J45" s="34"/>
    </row>
    <row r="46" spans="1:10" x14ac:dyDescent="0.35">
      <c r="A46" s="22"/>
      <c r="B46" s="34"/>
      <c r="C46" s="83"/>
      <c r="D46" s="56" t="s">
        <v>12</v>
      </c>
      <c r="E46" s="56"/>
      <c r="F46" s="56"/>
      <c r="G46" s="56"/>
      <c r="H46" s="56"/>
      <c r="I46" s="60">
        <f>SUM(I40:I45)</f>
        <v>0.38800000000000001</v>
      </c>
      <c r="J46" s="34"/>
    </row>
    <row r="47" spans="1:10" x14ac:dyDescent="0.35">
      <c r="A47" s="22"/>
      <c r="B47" s="34"/>
      <c r="C47" s="56"/>
      <c r="D47" s="56"/>
      <c r="E47" s="56"/>
      <c r="F47" s="56"/>
      <c r="G47" s="56"/>
      <c r="H47" s="56"/>
      <c r="I47" s="60"/>
      <c r="J47" s="34"/>
    </row>
    <row r="48" spans="1:10" x14ac:dyDescent="0.35">
      <c r="A48" s="22"/>
      <c r="B48" s="34"/>
      <c r="C48" s="56"/>
      <c r="D48" s="56"/>
      <c r="E48" s="56"/>
      <c r="F48" s="56"/>
      <c r="G48" s="56"/>
      <c r="H48" s="56"/>
      <c r="I48" s="56"/>
      <c r="J48" s="34"/>
    </row>
    <row r="49" spans="1:10" ht="18.75" customHeight="1" x14ac:dyDescent="0.35">
      <c r="A49" s="22"/>
      <c r="B49" s="34"/>
      <c r="C49" s="48" t="s">
        <v>33</v>
      </c>
      <c r="D49" s="10">
        <v>34</v>
      </c>
      <c r="E49" s="80" t="s">
        <v>31</v>
      </c>
      <c r="F49" s="81"/>
      <c r="G49" s="80" t="s">
        <v>35</v>
      </c>
      <c r="H49" s="81"/>
      <c r="I49" s="61" t="s">
        <v>56</v>
      </c>
      <c r="J49" s="34"/>
    </row>
    <row r="50" spans="1:10" x14ac:dyDescent="0.35">
      <c r="A50" s="22"/>
      <c r="B50" s="34"/>
      <c r="C50" s="48" t="s">
        <v>34</v>
      </c>
      <c r="D50" s="62">
        <f>D32*D49</f>
        <v>272</v>
      </c>
      <c r="E50" s="38" t="s">
        <v>0</v>
      </c>
      <c r="F50" s="38" t="s">
        <v>1</v>
      </c>
      <c r="G50" s="38" t="s">
        <v>0</v>
      </c>
      <c r="H50" s="38" t="s">
        <v>1</v>
      </c>
      <c r="I50" s="39"/>
      <c r="J50" s="34"/>
    </row>
    <row r="51" spans="1:10" x14ac:dyDescent="0.35">
      <c r="A51" s="22"/>
      <c r="B51" s="34"/>
      <c r="C51" s="39" t="s">
        <v>39</v>
      </c>
      <c r="D51" s="38">
        <f>D32</f>
        <v>8</v>
      </c>
      <c r="E51" s="40">
        <f>(+G32+G34)/D50</f>
        <v>2.1058823529411761</v>
      </c>
      <c r="F51" s="40">
        <f>(H32+H34)/D50</f>
        <v>3.0794117647058821</v>
      </c>
      <c r="G51" s="40"/>
      <c r="H51" s="40"/>
      <c r="I51" s="41">
        <f>F51/E51-1</f>
        <v>0.4622905027932962</v>
      </c>
      <c r="J51" s="34"/>
    </row>
    <row r="52" spans="1:10" x14ac:dyDescent="0.35">
      <c r="A52" s="22"/>
      <c r="B52" s="34"/>
      <c r="C52" s="39" t="s">
        <v>4</v>
      </c>
      <c r="D52" s="38">
        <f>D33</f>
        <v>2</v>
      </c>
      <c r="E52" s="40">
        <f>G33/D50</f>
        <v>0.36764705882352944</v>
      </c>
      <c r="F52" s="40">
        <f>H33/D50</f>
        <v>0.64919117647058822</v>
      </c>
      <c r="G52" s="63">
        <f>E33/E37</f>
        <v>0.36385255648038051</v>
      </c>
      <c r="H52" s="63">
        <f>F33/F37</f>
        <v>0.426223983908182</v>
      </c>
      <c r="I52" s="41">
        <f>F52/E52-1</f>
        <v>0.76579999999999981</v>
      </c>
      <c r="J52" s="34"/>
    </row>
    <row r="53" spans="1:10" x14ac:dyDescent="0.35">
      <c r="A53" s="22"/>
      <c r="B53" s="34"/>
      <c r="C53" s="39" t="s">
        <v>57</v>
      </c>
      <c r="D53" s="38"/>
      <c r="E53" s="40">
        <f>SUM(E51:E52)</f>
        <v>2.4735294117647055</v>
      </c>
      <c r="F53" s="40">
        <f>SUM(F51:F52)</f>
        <v>3.7286029411764705</v>
      </c>
      <c r="G53" s="63"/>
      <c r="H53" s="63"/>
      <c r="I53" s="41">
        <f>F53/E53-1</f>
        <v>0.50740190249702755</v>
      </c>
      <c r="J53" s="34"/>
    </row>
    <row r="54" spans="1:10" x14ac:dyDescent="0.35">
      <c r="A54" s="22"/>
      <c r="B54" s="34"/>
      <c r="C54" s="39" t="s">
        <v>58</v>
      </c>
      <c r="D54" s="38"/>
      <c r="E54" s="40">
        <f>E53*1.34</f>
        <v>3.3145294117647057</v>
      </c>
      <c r="F54" s="40">
        <f>F53*1.34</f>
        <v>4.9963279411764709</v>
      </c>
      <c r="G54" s="63"/>
      <c r="H54" s="63"/>
      <c r="I54" s="41">
        <f>F54/E54-1</f>
        <v>0.50740190249702755</v>
      </c>
      <c r="J54" s="34"/>
    </row>
    <row r="55" spans="1:10" x14ac:dyDescent="0.35">
      <c r="A55" s="22"/>
      <c r="B55" s="34"/>
      <c r="C55" s="39" t="s">
        <v>17</v>
      </c>
      <c r="D55" s="38"/>
      <c r="E55" s="40">
        <f>G37/D50</f>
        <v>4.0417147251057282</v>
      </c>
      <c r="F55" s="40">
        <f>H37/D50</f>
        <v>6.0924884659746246</v>
      </c>
      <c r="G55" s="40"/>
      <c r="H55" s="40"/>
      <c r="I55" s="41">
        <f t="shared" ref="I55:I56" si="2">F55/E55-1</f>
        <v>0.50740190249702732</v>
      </c>
      <c r="J55" s="34"/>
    </row>
    <row r="56" spans="1:10" x14ac:dyDescent="0.35">
      <c r="A56" s="22"/>
      <c r="B56" s="34"/>
      <c r="C56" s="39" t="s">
        <v>54</v>
      </c>
      <c r="D56" s="38"/>
      <c r="E56" s="40">
        <f>E55*1.34</f>
        <v>5.4158977316416763</v>
      </c>
      <c r="F56" s="40">
        <f>F55*1.34</f>
        <v>8.163934544405997</v>
      </c>
      <c r="G56" s="40"/>
      <c r="H56" s="40"/>
      <c r="I56" s="41">
        <f t="shared" si="2"/>
        <v>0.5074019024970271</v>
      </c>
      <c r="J56" s="34"/>
    </row>
    <row r="57" spans="1:10" x14ac:dyDescent="0.35">
      <c r="A57" s="22"/>
      <c r="B57" s="34"/>
      <c r="C57" s="39" t="s">
        <v>30</v>
      </c>
      <c r="D57" s="38"/>
      <c r="E57" s="39"/>
      <c r="F57" s="40">
        <f>F56-E56</f>
        <v>2.7480368127643207</v>
      </c>
      <c r="G57" s="39"/>
      <c r="H57" s="40"/>
      <c r="I57" s="41">
        <f>F55/E55-1</f>
        <v>0.50740190249702732</v>
      </c>
      <c r="J57" s="34"/>
    </row>
    <row r="58" spans="1:10" x14ac:dyDescent="0.35">
      <c r="A58" s="22"/>
      <c r="B58" s="22"/>
      <c r="C58" s="22"/>
      <c r="D58" s="25"/>
      <c r="E58" s="22"/>
      <c r="F58" s="22"/>
      <c r="G58" s="22"/>
      <c r="H58" s="24"/>
      <c r="I58" s="22"/>
      <c r="J58" s="22"/>
    </row>
    <row r="59" spans="1:10" x14ac:dyDescent="0.35">
      <c r="A59" s="22"/>
      <c r="B59" s="34"/>
      <c r="C59" s="34"/>
      <c r="D59" s="35"/>
      <c r="E59" s="34"/>
      <c r="F59" s="34"/>
      <c r="G59" s="34"/>
      <c r="H59" s="36"/>
      <c r="I59" s="34"/>
      <c r="J59" s="34"/>
    </row>
    <row r="60" spans="1:10" ht="57.75" customHeight="1" x14ac:dyDescent="0.35">
      <c r="A60" s="22"/>
      <c r="B60" s="34"/>
      <c r="C60" s="74" t="s">
        <v>15</v>
      </c>
      <c r="D60" s="75"/>
      <c r="E60" s="72" t="s">
        <v>63</v>
      </c>
      <c r="F60" s="70" t="s">
        <v>16</v>
      </c>
      <c r="G60" s="71"/>
      <c r="H60" s="64" t="s">
        <v>64</v>
      </c>
      <c r="I60" s="65"/>
      <c r="J60" s="34"/>
    </row>
    <row r="61" spans="1:10" x14ac:dyDescent="0.35">
      <c r="A61" s="22"/>
      <c r="B61" s="34"/>
      <c r="C61" s="76"/>
      <c r="D61" s="77"/>
      <c r="E61" s="73"/>
      <c r="F61" s="38" t="s">
        <v>0</v>
      </c>
      <c r="G61" s="38" t="s">
        <v>1</v>
      </c>
      <c r="H61" s="38" t="s">
        <v>0</v>
      </c>
      <c r="I61" s="38" t="s">
        <v>1</v>
      </c>
      <c r="J61" s="34"/>
    </row>
    <row r="62" spans="1:10" x14ac:dyDescent="0.35">
      <c r="A62" s="22"/>
      <c r="B62" s="34"/>
      <c r="C62" s="78"/>
      <c r="D62" s="79"/>
      <c r="E62" s="38">
        <v>184</v>
      </c>
      <c r="F62" s="50">
        <f>(E35+(E35/(1-D36)*SUM(I40:I44)))*E62</f>
        <v>20227.973856209148</v>
      </c>
      <c r="G62" s="50">
        <f>(F35+(F35/(1-D36)*SUM(I40:I44)))*E62</f>
        <v>30491.686274509801</v>
      </c>
      <c r="H62" s="50">
        <f>((E35+(E35/(1-D36)*D36))*E62)*1.34</f>
        <v>33881.856209150326</v>
      </c>
      <c r="I62" s="50">
        <f>((F35+(F35/(1-D36)*D36))*E62)*1.34</f>
        <v>51073.574509803919</v>
      </c>
      <c r="J62" s="34"/>
    </row>
    <row r="63" spans="1:10" x14ac:dyDescent="0.35">
      <c r="A63" s="22"/>
      <c r="B63" s="34"/>
      <c r="C63" s="34"/>
      <c r="D63" s="34"/>
      <c r="E63" s="35"/>
      <c r="F63" s="36"/>
      <c r="G63" s="36"/>
      <c r="H63" s="36"/>
      <c r="I63" s="36"/>
      <c r="J63" s="34"/>
    </row>
    <row r="64" spans="1:10" x14ac:dyDescent="0.35">
      <c r="A64" s="22"/>
      <c r="B64" s="22"/>
      <c r="C64" s="22"/>
      <c r="D64" s="22"/>
      <c r="E64" s="22"/>
      <c r="F64" s="22"/>
      <c r="G64" s="22"/>
      <c r="H64" s="22"/>
      <c r="I64" s="22"/>
      <c r="J64" s="22"/>
    </row>
    <row r="65" spans="1:10" x14ac:dyDescent="0.35">
      <c r="A65" s="22"/>
      <c r="B65" s="22"/>
      <c r="C65" s="22"/>
      <c r="D65" s="22"/>
      <c r="E65" s="22"/>
      <c r="F65" s="22"/>
      <c r="G65" s="22"/>
      <c r="H65" s="22"/>
      <c r="I65" s="22"/>
      <c r="J65" s="22"/>
    </row>
    <row r="66" spans="1:10" x14ac:dyDescent="0.35">
      <c r="D66" s="2"/>
      <c r="H66" s="2"/>
      <c r="I66" s="11"/>
    </row>
    <row r="67" spans="1:10" x14ac:dyDescent="0.35">
      <c r="D67" s="2"/>
      <c r="H67" s="2"/>
      <c r="I67" s="11"/>
    </row>
    <row r="68" spans="1:10" x14ac:dyDescent="0.35">
      <c r="D68" s="2"/>
      <c r="H68" s="2"/>
      <c r="I68" s="11"/>
    </row>
    <row r="69" spans="1:10" x14ac:dyDescent="0.35">
      <c r="D69" s="2"/>
      <c r="H69" s="2"/>
      <c r="J69" s="1"/>
    </row>
    <row r="70" spans="1:10" x14ac:dyDescent="0.35">
      <c r="D70" s="2"/>
      <c r="H70" s="2"/>
      <c r="J70" s="1"/>
    </row>
    <row r="71" spans="1:10" x14ac:dyDescent="0.35">
      <c r="D71" s="2"/>
      <c r="H71" s="2"/>
      <c r="J71" s="1"/>
    </row>
    <row r="72" spans="1:10" x14ac:dyDescent="0.35">
      <c r="E72" s="1"/>
      <c r="F72" s="1"/>
      <c r="G72" s="1"/>
    </row>
    <row r="73" spans="1:10" x14ac:dyDescent="0.35">
      <c r="D73" s="2"/>
      <c r="E73" s="1"/>
      <c r="F73" s="1"/>
      <c r="G73" s="1"/>
    </row>
    <row r="74" spans="1:10" x14ac:dyDescent="0.35">
      <c r="D74" s="2"/>
      <c r="E74" s="1"/>
      <c r="F74" s="1"/>
      <c r="G74" s="1"/>
    </row>
    <row r="75" spans="1:10" x14ac:dyDescent="0.35">
      <c r="D75" s="2"/>
      <c r="G75" s="1"/>
    </row>
    <row r="76" spans="1:10" x14ac:dyDescent="0.35">
      <c r="D76" s="2"/>
      <c r="E76" s="1"/>
      <c r="F76" s="1"/>
      <c r="G76" s="1"/>
    </row>
    <row r="77" spans="1:10" x14ac:dyDescent="0.35">
      <c r="D77" s="2"/>
      <c r="F77" s="1"/>
      <c r="G77" s="1"/>
      <c r="I77" s="11"/>
    </row>
    <row r="78" spans="1:10" x14ac:dyDescent="0.35">
      <c r="D78" s="2"/>
      <c r="F78" s="12"/>
      <c r="G78" s="1"/>
      <c r="I78" s="1"/>
    </row>
    <row r="79" spans="1:10" x14ac:dyDescent="0.35">
      <c r="D79" s="2"/>
      <c r="F79" s="12"/>
    </row>
    <row r="80" spans="1:10" x14ac:dyDescent="0.35">
      <c r="D80" s="2"/>
      <c r="G80" s="1"/>
    </row>
    <row r="81" spans="4:9" x14ac:dyDescent="0.35">
      <c r="D81" s="2"/>
      <c r="E81" s="1"/>
      <c r="F81" s="1"/>
      <c r="G81" s="1"/>
    </row>
    <row r="82" spans="4:9" x14ac:dyDescent="0.35">
      <c r="D82" s="2"/>
      <c r="E82" s="1"/>
      <c r="F82" s="1"/>
      <c r="G82" s="1"/>
    </row>
    <row r="83" spans="4:9" x14ac:dyDescent="0.35">
      <c r="D83" s="2"/>
      <c r="E83" s="1"/>
      <c r="F83" s="1"/>
      <c r="G83" s="1"/>
    </row>
    <row r="84" spans="4:9" x14ac:dyDescent="0.35">
      <c r="D84" s="2"/>
      <c r="G84" s="1"/>
    </row>
    <row r="85" spans="4:9" x14ac:dyDescent="0.35">
      <c r="D85" s="2"/>
      <c r="E85" s="1"/>
      <c r="F85" s="1"/>
      <c r="G85" s="1"/>
    </row>
    <row r="86" spans="4:9" x14ac:dyDescent="0.35">
      <c r="D86" s="2"/>
      <c r="F86" s="1"/>
      <c r="G86" s="1"/>
      <c r="I86" s="11"/>
    </row>
    <row r="87" spans="4:9" x14ac:dyDescent="0.35">
      <c r="D87" s="2"/>
      <c r="F87" s="12"/>
      <c r="G87" s="1"/>
      <c r="I87" s="1"/>
    </row>
    <row r="88" spans="4:9" x14ac:dyDescent="0.35">
      <c r="D88" s="2"/>
      <c r="F88" s="12"/>
    </row>
    <row r="89" spans="4:9" x14ac:dyDescent="0.35">
      <c r="D89" s="2"/>
      <c r="G89" s="1"/>
    </row>
    <row r="90" spans="4:9" x14ac:dyDescent="0.35">
      <c r="D90" s="2"/>
      <c r="E90" s="1"/>
      <c r="F90" s="1"/>
      <c r="G90" s="1"/>
    </row>
    <row r="91" spans="4:9" x14ac:dyDescent="0.35">
      <c r="D91" s="2"/>
      <c r="E91" s="1"/>
      <c r="F91" s="1"/>
      <c r="G91" s="1"/>
    </row>
    <row r="92" spans="4:9" x14ac:dyDescent="0.35">
      <c r="D92" s="2"/>
      <c r="E92" s="1"/>
      <c r="F92" s="1"/>
      <c r="G92" s="1"/>
    </row>
    <row r="93" spans="4:9" x14ac:dyDescent="0.35">
      <c r="D93" s="2"/>
      <c r="G93" s="1"/>
    </row>
    <row r="94" spans="4:9" x14ac:dyDescent="0.35">
      <c r="D94" s="2"/>
      <c r="E94" s="1"/>
      <c r="F94" s="1"/>
      <c r="G94" s="1"/>
    </row>
    <row r="95" spans="4:9" x14ac:dyDescent="0.35">
      <c r="D95" s="2"/>
      <c r="F95" s="1"/>
      <c r="G95" s="1"/>
      <c r="I95" s="11"/>
    </row>
    <row r="96" spans="4:9" x14ac:dyDescent="0.35">
      <c r="D96" s="2"/>
      <c r="F96" s="12"/>
      <c r="G96" s="1"/>
      <c r="I96" s="1"/>
    </row>
    <row r="97" spans="4:6" x14ac:dyDescent="0.35">
      <c r="D97" s="2"/>
      <c r="F97" s="12"/>
    </row>
  </sheetData>
  <sheetProtection algorithmName="SHA-512" hashValue="4fSLl3JwY7UGAtOqkWpU6Ko1uVWl/ldj4pZYhw+mpIAJiEou6Fg/IRxz2iTXqZxqQtshu/D5Vdte7RMHurMASw==" saltValue="TALj1VJkNd/AXolcFsNLzw==" spinCount="100000" sheet="1" objects="1" scenarios="1"/>
  <mergeCells count="23">
    <mergeCell ref="C22:D22"/>
    <mergeCell ref="C23:D23"/>
    <mergeCell ref="C24:D24"/>
    <mergeCell ref="C25:D25"/>
    <mergeCell ref="C26:D26"/>
    <mergeCell ref="A1:G1"/>
    <mergeCell ref="C2:G2"/>
    <mergeCell ref="H21:J21"/>
    <mergeCell ref="E5:G5"/>
    <mergeCell ref="C21:D21"/>
    <mergeCell ref="H60:I60"/>
    <mergeCell ref="D30:D31"/>
    <mergeCell ref="C30:C31"/>
    <mergeCell ref="F60:G60"/>
    <mergeCell ref="E60:E61"/>
    <mergeCell ref="C60:D62"/>
    <mergeCell ref="E49:F49"/>
    <mergeCell ref="I30:I31"/>
    <mergeCell ref="D45:G45"/>
    <mergeCell ref="C45:C46"/>
    <mergeCell ref="G49:H49"/>
    <mergeCell ref="E30:F30"/>
    <mergeCell ref="G30:H30"/>
  </mergeCells>
  <pageMargins left="0.23622047244094491" right="0.23622047244094491" top="0.74803149606299213" bottom="0.74803149606299213" header="0.31496062992125984" footer="0.31496062992125984"/>
  <pageSetup paperSize="9"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Nástroj pro výpočet příplatku</vt:lpstr>
      <vt:lpstr>'Nástroj pro výpočet příplatku'!Oblast_tisku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AKČR</dc:creator>
  <cp:lastModifiedBy>Sulcova Monika</cp:lastModifiedBy>
  <cp:lastPrinted>2016-11-24T10:39:18Z</cp:lastPrinted>
  <dcterms:created xsi:type="dcterms:W3CDTF">2016-11-11T06:07:28Z</dcterms:created>
  <dcterms:modified xsi:type="dcterms:W3CDTF">2017-01-17T15:30:06Z</dcterms:modified>
</cp:coreProperties>
</file>