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0"/>
  </bookViews>
  <sheets>
    <sheet name="Bilance P+V" sheetId="1" r:id="rId1"/>
    <sheet name="příjmy OD" sheetId="2" r:id="rId2"/>
    <sheet name="912 06" sheetId="3" r:id="rId3"/>
    <sheet name="920 06" sheetId="4" r:id="rId4"/>
  </sheets>
  <definedNames>
    <definedName name="_xlnm.Print_Titles" localSheetId="3">'920 06'!$7:$8</definedName>
    <definedName name="_xlnm.Print_Titles" localSheetId="1">'příjmy OD'!$7:$8</definedName>
  </definedNames>
  <calcPr fullCalcOnLoad="1"/>
</workbook>
</file>

<file path=xl/sharedStrings.xml><?xml version="1.0" encoding="utf-8"?>
<sst xmlns="http://schemas.openxmlformats.org/spreadsheetml/2006/main" count="819" uniqueCount="317">
  <si>
    <t>Úprava</t>
  </si>
  <si>
    <t>Ukazatel  (tis.Kč)</t>
  </si>
  <si>
    <t>Pol.</t>
  </si>
  <si>
    <t>x</t>
  </si>
  <si>
    <t>uk.</t>
  </si>
  <si>
    <t>SU</t>
  </si>
  <si>
    <t>č.a.</t>
  </si>
  <si>
    <t>§</t>
  </si>
  <si>
    <t>pol.</t>
  </si>
  <si>
    <t>A/ Vlastní  příjmy</t>
  </si>
  <si>
    <t>1xxx</t>
  </si>
  <si>
    <t>2xxx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</si>
  <si>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</si>
  <si>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</si>
  <si>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</si>
  <si>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</si>
  <si>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</si>
  <si>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</si>
  <si>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</si>
  <si>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</si>
  <si>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</si>
  <si>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</si>
  <si>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</si>
  <si>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1-3xxx</t>
  </si>
  <si>
    <t>1-4xxx</t>
  </si>
  <si>
    <t>Ukazatel   (tis.Kč)</t>
  </si>
  <si>
    <t>5xxx</t>
  </si>
  <si>
    <t>6xxx</t>
  </si>
  <si>
    <t>5-6xxx</t>
  </si>
  <si>
    <t xml:space="preserve">V ý d a je   c e l k e m </t>
  </si>
  <si>
    <t>Bilance příjmů</t>
  </si>
  <si>
    <t>Bilance výdajů</t>
  </si>
  <si>
    <t>81xx</t>
  </si>
  <si>
    <t>správce rozpočtových výdajů = odbor dopravy</t>
  </si>
  <si>
    <t>415x</t>
  </si>
  <si>
    <t>tis. Kč</t>
  </si>
  <si>
    <t>Odbor dopravy</t>
  </si>
  <si>
    <t>nákup ostatních služeb</t>
  </si>
  <si>
    <t>tis.Kč</t>
  </si>
  <si>
    <t>Přijaté transfery (dotace a příspěvky) a zdroje (financování)</t>
  </si>
  <si>
    <t>ORJ</t>
  </si>
  <si>
    <t>ÚZ</t>
  </si>
  <si>
    <t>příjmy celkem</t>
  </si>
  <si>
    <t>A1) vlastní příjmy - daňové příjmy</t>
  </si>
  <si>
    <t>0006</t>
  </si>
  <si>
    <t>DU</t>
  </si>
  <si>
    <t>příjmy z licencí pro kamionovou dopravu</t>
  </si>
  <si>
    <t>správní poplatky</t>
  </si>
  <si>
    <t>A2) vlastní příjmy - nedaňové příjmy</t>
  </si>
  <si>
    <t>věcná břemena</t>
  </si>
  <si>
    <t>kauce a sankční platby</t>
  </si>
  <si>
    <t>A3) vlastní příjmy - kapitálové příjmy</t>
  </si>
  <si>
    <t>prodej pozemků</t>
  </si>
  <si>
    <t>prodej nemovitostí</t>
  </si>
  <si>
    <t>41xx</t>
  </si>
  <si>
    <t>B1) Dotace a příspěvky - neinvestiční</t>
  </si>
  <si>
    <t>neinvestiční transfery přijaté od obcí</t>
  </si>
  <si>
    <t>Kapitola 920 06 - Kapitálové výdaje</t>
  </si>
  <si>
    <t>kap.</t>
  </si>
  <si>
    <t>K A P I T Á L O V É  V Ý D A J E</t>
  </si>
  <si>
    <t>kapitálové (investiční) výdaje resortu celkem</t>
  </si>
  <si>
    <t>0670000000</t>
  </si>
  <si>
    <t>výkupy pozemků</t>
  </si>
  <si>
    <t>pozemky</t>
  </si>
  <si>
    <t>budovy, haly a stavby</t>
  </si>
  <si>
    <t>stavba nebo rekonstrukce silnice</t>
  </si>
  <si>
    <t>0690801601</t>
  </si>
  <si>
    <t>obnova a údržba alejí na Frýdlantsku</t>
  </si>
  <si>
    <t>neinvestiční transfery zřízeným příspěvkovým organizacím</t>
  </si>
  <si>
    <t>0690810000</t>
  </si>
  <si>
    <t>Velkoplošné opravy havarijních úseků komunikací</t>
  </si>
  <si>
    <t>nespecifikované rezervy</t>
  </si>
  <si>
    <t>Financování silnic II. a III. třídy ve vlastnictví kraje - 2015</t>
  </si>
  <si>
    <t>0683340000</t>
  </si>
  <si>
    <t>III/2719 Hrádek n. N. - Oldřichov na Hranicích</t>
  </si>
  <si>
    <t>III/27110 Oldřichov na Hranicích</t>
  </si>
  <si>
    <t>0683370000</t>
  </si>
  <si>
    <t>II/288 Podbozkov - Cimbál</t>
  </si>
  <si>
    <t>0683380000</t>
  </si>
  <si>
    <t>III/29011 Ludvíkov - Nové Město p. Smrkem</t>
  </si>
  <si>
    <t>0683400000</t>
  </si>
  <si>
    <t>III/03520 Dlouhý Most - Javorník</t>
  </si>
  <si>
    <t>0683410000</t>
  </si>
  <si>
    <t>II/270 Doksy - Mimoň</t>
  </si>
  <si>
    <t>0683500000</t>
  </si>
  <si>
    <t>III/28115 hranice LB kraje - Troskovice</t>
  </si>
  <si>
    <t>opravy a udržování</t>
  </si>
  <si>
    <t>0683670000</t>
  </si>
  <si>
    <t>III/27716 Český Dub - havárie propustku</t>
  </si>
  <si>
    <t>0683790000</t>
  </si>
  <si>
    <t>III/28713 Hodkovice, podjezd pod mostem SŽDC</t>
  </si>
  <si>
    <t>0683900000</t>
  </si>
  <si>
    <t>II/278 Osečná</t>
  </si>
  <si>
    <t>Financování silnic II. a III. třídy ve vlastnictví kraje - 2016</t>
  </si>
  <si>
    <t>0683330000</t>
  </si>
  <si>
    <t>opravy silnic II. a III. tříd</t>
  </si>
  <si>
    <t>0683430000</t>
  </si>
  <si>
    <t>III/26317 Prysk - křižovatka s III/26318</t>
  </si>
  <si>
    <t>0683480000</t>
  </si>
  <si>
    <t>III/28115 Troskovice (Krčák, Vidlák)</t>
  </si>
  <si>
    <t>0683490000</t>
  </si>
  <si>
    <t>III/28116 Borek - Troskovice</t>
  </si>
  <si>
    <t>0683520000</t>
  </si>
  <si>
    <t>III/2923 Chuchelna</t>
  </si>
  <si>
    <t>0683530000</t>
  </si>
  <si>
    <t>III/29022 Josefův Důl</t>
  </si>
  <si>
    <t>0683960000</t>
  </si>
  <si>
    <t>III/2931 Horka u Staré Paky</t>
  </si>
  <si>
    <t>0683970000</t>
  </si>
  <si>
    <t>III/28626 Benecko</t>
  </si>
  <si>
    <t>0683980000</t>
  </si>
  <si>
    <t>III/27910 Soběslavice, havárie 2 propustků</t>
  </si>
  <si>
    <t>0683990000</t>
  </si>
  <si>
    <t>III/29035 Jindřichov nad Nisou, propustek</t>
  </si>
  <si>
    <t>0684010000</t>
  </si>
  <si>
    <t>III/29011 Ludvíkov pod Smrkem</t>
  </si>
  <si>
    <t>0684020000</t>
  </si>
  <si>
    <t xml:space="preserve">III/27250 ulice Liberecká, Chrastava </t>
  </si>
  <si>
    <t>2006</t>
  </si>
  <si>
    <t xml:space="preserve">investiční přijaté transfery od obcí </t>
  </si>
  <si>
    <t>42xx</t>
  </si>
  <si>
    <t>B2) Dotace a příspěvky - investiční</t>
  </si>
  <si>
    <t>SR 2017</t>
  </si>
  <si>
    <t>UR I 2017</t>
  </si>
  <si>
    <t>UR II 2017</t>
  </si>
  <si>
    <t>0690820000</t>
  </si>
  <si>
    <t>Monitorování dopravy a určení hmotnosti vozidel na silnici II/262</t>
  </si>
  <si>
    <t>Cyklostezky v LK</t>
  </si>
  <si>
    <t>0684180000</t>
  </si>
  <si>
    <t>II/290 Hejnice, odvodnění komunikace</t>
  </si>
  <si>
    <t>0684200000</t>
  </si>
  <si>
    <t>III/2783 Starý Dub - Janův Důl</t>
  </si>
  <si>
    <t>0684220000</t>
  </si>
  <si>
    <t>III/29058 Sklenařice - Jablonec nad Jizerou</t>
  </si>
  <si>
    <t>0684230000</t>
  </si>
  <si>
    <t>II/290 Bílý Potok, rekonstrukce silnice</t>
  </si>
  <si>
    <t>0684240000</t>
  </si>
  <si>
    <t>III/28626 Benecko - Mrklov</t>
  </si>
  <si>
    <t>0684250000</t>
  </si>
  <si>
    <t>II/292 Háje nad Jizerou, zajištění skály</t>
  </si>
  <si>
    <t>0684260000</t>
  </si>
  <si>
    <t>II/262 Horní Police</t>
  </si>
  <si>
    <t>0684290000</t>
  </si>
  <si>
    <t>III/2784 Liberec (ul. Č. mládeže) - sesuv svahu</t>
  </si>
  <si>
    <t>0684300000</t>
  </si>
  <si>
    <t>III/27019 Jablonné v Podještědí (od II/270 po III/27014)</t>
  </si>
  <si>
    <t>0684310000</t>
  </si>
  <si>
    <t>III/2895 Roztoky u Semil - havárie zdi</t>
  </si>
  <si>
    <t>0684360000</t>
  </si>
  <si>
    <t>III/27927 Pelešany - opěrná zeď</t>
  </si>
  <si>
    <t>0684370000</t>
  </si>
  <si>
    <t>III/27710 Trávníček, oprava propustku</t>
  </si>
  <si>
    <t>0684380000</t>
  </si>
  <si>
    <t>II/286 x II/284 Lomnice nad Popelkou - havárie zdi</t>
  </si>
  <si>
    <t>0684390000</t>
  </si>
  <si>
    <t>II/262 Horní Police - havárie opěrné zdi</t>
  </si>
  <si>
    <t>0684400000</t>
  </si>
  <si>
    <t>III/2627 Volfartice, oprava propustku</t>
  </si>
  <si>
    <t>0684410000</t>
  </si>
  <si>
    <t>Most 26320-1 a III/26320 ul. Lipová v Novém Boru</t>
  </si>
  <si>
    <t>0684420000</t>
  </si>
  <si>
    <t>III/2934 Žďár - hranice kraje</t>
  </si>
  <si>
    <t>0684430000</t>
  </si>
  <si>
    <t>Most 260-003, most přes Obrtku v Tuhani</t>
  </si>
  <si>
    <t>0684440000</t>
  </si>
  <si>
    <t>II/262 - deformace vozovky, Česká Lípa</t>
  </si>
  <si>
    <t>0684450000</t>
  </si>
  <si>
    <t>silnice k nádraží v Nové Vsi nad Popelkou III/2848A</t>
  </si>
  <si>
    <t>Financování silnic II. a III. třídy ve vlastnictví kraje - 2017</t>
  </si>
  <si>
    <t>(ÚZ 91252)</t>
  </si>
  <si>
    <t>(ÚZ 91628)</t>
  </si>
  <si>
    <t>rezervy kapitálových výdajů</t>
  </si>
  <si>
    <t>budovy, haly, stavby</t>
  </si>
  <si>
    <t>0684460000</t>
  </si>
  <si>
    <t>III/29047 Desná (protržená přehrada), rekonstrukce silnice</t>
  </si>
  <si>
    <t>0684470000</t>
  </si>
  <si>
    <t>II/270 Pertoltice pod Ralskem - protismyskové vlastnosti</t>
  </si>
  <si>
    <t>0684480000</t>
  </si>
  <si>
    <t>Most č. 282-005 - pod Týnem v Rovensku p. Troskami</t>
  </si>
  <si>
    <t>0684490000</t>
  </si>
  <si>
    <t>Liberec - ul. České mládeže - bývalá III/2784</t>
  </si>
  <si>
    <t>0684500000</t>
  </si>
  <si>
    <t>III/27244 Janovice v Podještědí, havárie opěrné zdi</t>
  </si>
  <si>
    <t>0684510000</t>
  </si>
  <si>
    <t>Most ev.č. 260-006 přes Obrtku v Tuhani</t>
  </si>
  <si>
    <t>0684520000</t>
  </si>
  <si>
    <t>Příjmy a finanční zdroje odboru dopravy 2017</t>
  </si>
  <si>
    <t>P Ř Í J M Y   A  T R A N S F E R Y   2 0 1 7</t>
  </si>
  <si>
    <t>příspěvek na dopravní obslužnost od obchodních společností</t>
  </si>
  <si>
    <t>ostatní nedaňové příjmy</t>
  </si>
  <si>
    <t>0684022007</t>
  </si>
  <si>
    <t>0684385005</t>
  </si>
  <si>
    <t>0684522006</t>
  </si>
  <si>
    <t>ZDROJOVÁ  A VÝDAJOVÁ ČÁST ROZPOČTU LK 2017</t>
  </si>
  <si>
    <t>1. Daňové příjmy</t>
  </si>
  <si>
    <t>2. Nedaňové příjmy</t>
  </si>
  <si>
    <t>3. Kapitáové příjmy</t>
  </si>
  <si>
    <t>B/ Dotace a příspěvky</t>
  </si>
  <si>
    <r>
      <t>1. N</t>
    </r>
    <r>
      <rPr>
        <b/>
        <sz val="11"/>
        <rFont val="Times New Roman"/>
        <family val="1"/>
      </rPr>
      <t xml:space="preserve">einvestiční </t>
    </r>
    <r>
      <rPr>
        <sz val="11"/>
        <rFont val="Times New Roman"/>
        <family val="1"/>
      </rPr>
      <t>dotace</t>
    </r>
  </si>
  <si>
    <t xml:space="preserve">   Zákon o st.rozpočtu</t>
  </si>
  <si>
    <t xml:space="preserve">   Resort. účelové dotace (ze SR, st.fondů)</t>
  </si>
  <si>
    <t xml:space="preserve">   Dotace ze zahraničí</t>
  </si>
  <si>
    <t xml:space="preserve">   Dotace od obcí</t>
  </si>
  <si>
    <t xml:space="preserve">   Dotace od regionální rady</t>
  </si>
  <si>
    <r>
      <t>2. I</t>
    </r>
    <r>
      <rPr>
        <b/>
        <sz val="11"/>
        <rFont val="Times New Roman"/>
        <family val="1"/>
      </rPr>
      <t xml:space="preserve">nvestiční </t>
    </r>
    <r>
      <rPr>
        <sz val="11"/>
        <rFont val="Times New Roman"/>
        <family val="1"/>
      </rPr>
      <t>dot.</t>
    </r>
  </si>
  <si>
    <t xml:space="preserve">    Resort. účelové dotace (ze SR, st.fondů)</t>
  </si>
  <si>
    <t xml:space="preserve">    Dotace od obcí</t>
  </si>
  <si>
    <t xml:space="preserve">    Dotace od regionální rady</t>
  </si>
  <si>
    <t xml:space="preserve">    Dotace ze zahraničí</t>
  </si>
  <si>
    <t>423x</t>
  </si>
  <si>
    <t>1. Zapojení fondů z r. 2016</t>
  </si>
  <si>
    <t>2. Zapojení  zákl.běžného účtu z r. 2016</t>
  </si>
  <si>
    <t>3. Úvěr</t>
  </si>
  <si>
    <t>4. Uhrazené splátky dlouhod.půjč.</t>
  </si>
  <si>
    <t>Kap.910 - Zastupitelstvo</t>
  </si>
  <si>
    <t>Kap.911 - Krajský úřad</t>
  </si>
  <si>
    <t>Kap.912 - Účelové příspěvky PO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</si>
  <si>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</si>
  <si>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</si>
  <si>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</si>
  <si>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</si>
  <si>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</si>
  <si>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</si>
  <si>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</si>
  <si>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</si>
  <si>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</si>
  <si>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</si>
  <si>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</si>
  <si>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</si>
  <si>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</si>
  <si>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</si>
  <si>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>3.změna-RO č. 149/17</t>
  </si>
  <si>
    <t>Kapitola 912 06 - Účelové příspěvky PO</t>
  </si>
  <si>
    <t>06</t>
  </si>
  <si>
    <t>Ú Č E L O V É  P Ř Í S P Ě V K Y  P O</t>
  </si>
  <si>
    <t>Jmenovité investiční a neinvestiční akce resortu</t>
  </si>
  <si>
    <t>06500011601</t>
  </si>
  <si>
    <t>úprava křižovatky silnic II. třídy v lokalitě Zelený Háj</t>
  </si>
  <si>
    <t>investiční transfery zřízeným příspěvkovým organizacím</t>
  </si>
  <si>
    <t>06500021601</t>
  </si>
  <si>
    <t>údržba mostů na silnicích II. a III. třídy</t>
  </si>
  <si>
    <t>06500031601</t>
  </si>
  <si>
    <t>KSS LK - projektové dokumentace silnic na 2017 - 2018</t>
  </si>
  <si>
    <t>06500041601</t>
  </si>
  <si>
    <t>KSS LK - demolice objektu v Ralsku ev. č. 234</t>
  </si>
  <si>
    <t>06500071601</t>
  </si>
  <si>
    <t>PD – rekonstrukce silnic II. a III. tříd</t>
  </si>
  <si>
    <t>06500081601</t>
  </si>
  <si>
    <t>oprava vpustí a povrchu vozovky části silnice III/26846 ve Sloupu v Č.</t>
  </si>
  <si>
    <t>06500091601</t>
  </si>
  <si>
    <t>PD a žádosti o dotaci na aleje Frýdlantsko</t>
  </si>
  <si>
    <t>06500101601</t>
  </si>
  <si>
    <t>Projektové dokumentace na silnice LK II. a III. třídy pro 2018 - 2019</t>
  </si>
  <si>
    <t>neinvestiční příspěvky zřízeným příspěvkovým organizacím</t>
  </si>
  <si>
    <t>investiční příspěvky zřízeným příspěvkovým organizacím</t>
  </si>
  <si>
    <t>06500111601</t>
  </si>
  <si>
    <t>Demolice havarijních objektů v bývalém VP Ralsko</t>
  </si>
  <si>
    <t>Změna rozpočtu - rozpočtové opatření č. 149/17</t>
  </si>
  <si>
    <t>4.změna-RO č. 149/17</t>
  </si>
  <si>
    <t>06500121601</t>
  </si>
  <si>
    <t>Rekonstrukce objektu KSS LK, České mládeže, Liberec</t>
  </si>
  <si>
    <t>06500131601</t>
  </si>
  <si>
    <t>Příprava a PD havarijních objektů a úseků silnic</t>
  </si>
  <si>
    <t>0690830000</t>
  </si>
  <si>
    <t>0690840000</t>
  </si>
  <si>
    <t>Rekonstrukce krajských silnic</t>
  </si>
  <si>
    <t>0684530000</t>
  </si>
  <si>
    <t>III/27250 Liberec, ul. Hrádecká, rekonstrukce silnice</t>
  </si>
  <si>
    <t>0684540000</t>
  </si>
  <si>
    <t>II/284 Nová Ves nad Popelkou, rekonstrukce opěrné zdi</t>
  </si>
  <si>
    <t>0684550000</t>
  </si>
  <si>
    <t>III/29050 Desná (Sladká Díra), havárie propustku</t>
  </si>
  <si>
    <t>0684560000</t>
  </si>
  <si>
    <t>III/29022 Hrabětice - Josefův Důl</t>
  </si>
  <si>
    <t>0684570000</t>
  </si>
  <si>
    <t>Most ev.č. 2893-1 Semily</t>
  </si>
  <si>
    <t>0684580000</t>
  </si>
  <si>
    <t>II/278 Osečná (Kotel), oprava propustku</t>
  </si>
  <si>
    <t>0684590000</t>
  </si>
  <si>
    <t>II/278 Kotel, havárie propustku</t>
  </si>
  <si>
    <t>0684600000</t>
  </si>
  <si>
    <t>III/27243 Zdislava, rekonstrukce opěrné zdi</t>
  </si>
  <si>
    <t>0684610000</t>
  </si>
  <si>
    <t>III/27926 Kacanovy, rekonstrukce propustku</t>
  </si>
  <si>
    <t>0684620000</t>
  </si>
  <si>
    <t>II/277 Český Dub, rekonstrukce propustku</t>
  </si>
  <si>
    <t>0684630000</t>
  </si>
  <si>
    <t>Most ev.č. 2903-1 Raspenava, rekonstrukce mostu</t>
  </si>
  <si>
    <t>0684640000</t>
  </si>
  <si>
    <t>III/26833 Srní u České Lípy - křižovatka s I/9</t>
  </si>
  <si>
    <t>0684650000</t>
  </si>
  <si>
    <t>III/2601 Zahrádky - Sosnová</t>
  </si>
  <si>
    <t>0684660000</t>
  </si>
  <si>
    <t>III/26832 Brenná - Srní u České Lípy</t>
  </si>
  <si>
    <t>0684670000</t>
  </si>
  <si>
    <t>III/2711 Chotyně, havárie opěrné zdi</t>
  </si>
  <si>
    <t>0684680000</t>
  </si>
  <si>
    <t>III/2791 Jivina, oprava propustku</t>
  </si>
  <si>
    <t>0684690000</t>
  </si>
  <si>
    <t>III/2713 Dolní Suchá - křižovatka s I/13</t>
  </si>
  <si>
    <t>0684700000</t>
  </si>
  <si>
    <t>III/26320 Polevsko</t>
  </si>
  <si>
    <t>0684710000</t>
  </si>
  <si>
    <t>III/2627 Volfartice</t>
  </si>
  <si>
    <t>0684720000</t>
  </si>
  <si>
    <t>III/26214 a III/2625 Stružnice - Bořetín</t>
  </si>
  <si>
    <t>0684730000</t>
  </si>
  <si>
    <t>II/268 Mimoň, ulice Českolipská</t>
  </si>
  <si>
    <t>13.změna-RO č. 149/17</t>
  </si>
  <si>
    <t>1306</t>
  </si>
  <si>
    <t>ostatní přijaté vratky transferů</t>
  </si>
  <si>
    <t>0690761601</t>
  </si>
  <si>
    <t>Krajská správa silnic LK p.o. - realizace příkazní smlouvy Silnice LK a.s. na BĚŽNOU ÚDRŽBU 2016</t>
  </si>
  <si>
    <t>0689961601</t>
  </si>
  <si>
    <t>1206</t>
  </si>
  <si>
    <t>06500061601</t>
  </si>
  <si>
    <t>demolice bývalého kulturního domu v Ralsku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</si>
</sst>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8"/>
      <color indexed="10"/>
      <name val="Arial"/>
      <family val="2"/>
    </font>
    <font>
      <sz val="8"/>
      <name val="Arial CE"/>
      <family val="0"/>
    </font>
    <font>
      <b/>
      <sz val="8"/>
      <color indexed="10"/>
      <name val="Arial"/>
      <family val="2"/>
    </font>
    <font>
      <b/>
      <sz val="12"/>
      <name val="Arial CE"/>
      <family val="0"/>
    </font>
    <font>
      <b/>
      <sz val="8"/>
      <name val="Arial CE"/>
      <family val="0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10"/>
      <name val="Arial CE"/>
      <family val="0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rgb="FF0000FF"/>
      <name val="Arial"/>
      <family val="2"/>
    </font>
    <font>
      <sz val="8"/>
      <color rgb="FFFF0000"/>
      <name val="Arial CE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/>
      <top style="medium"/>
      <bottom/>
    </border>
    <border>
      <left style="medium"/>
      <right/>
      <top style="thin"/>
      <bottom style="medium"/>
    </border>
    <border>
      <left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/>
      <bottom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9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3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right" vertical="center" wrapText="1"/>
    </xf>
    <xf numFmtId="4" fontId="7" fillId="0" borderId="15" xfId="0" applyNumberFormat="1" applyFont="1" applyBorder="1" applyAlignment="1">
      <alignment horizontal="right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4" fontId="8" fillId="0" borderId="18" xfId="0" applyNumberFormat="1" applyFont="1" applyBorder="1" applyAlignment="1">
      <alignment horizontal="right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4" fontId="8" fillId="0" borderId="20" xfId="0" applyNumberFormat="1" applyFont="1" applyBorder="1" applyAlignment="1">
      <alignment horizontal="right" vertical="center" wrapText="1"/>
    </xf>
    <xf numFmtId="0" fontId="7" fillId="0" borderId="21" xfId="0" applyFont="1" applyBorder="1" applyAlignment="1">
      <alignment vertical="center" wrapText="1"/>
    </xf>
    <xf numFmtId="4" fontId="7" fillId="0" borderId="21" xfId="0" applyNumberFormat="1" applyFont="1" applyBorder="1" applyAlignment="1">
      <alignment horizontal="right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4" fontId="7" fillId="0" borderId="20" xfId="0" applyNumberFormat="1" applyFont="1" applyBorder="1" applyAlignment="1">
      <alignment horizontal="right" vertical="center" wrapText="1"/>
    </xf>
    <xf numFmtId="0" fontId="8" fillId="0" borderId="22" xfId="0" applyFont="1" applyBorder="1" applyAlignment="1">
      <alignment vertical="center" wrapText="1"/>
    </xf>
    <xf numFmtId="4" fontId="8" fillId="0" borderId="21" xfId="0" applyNumberFormat="1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4" fontId="7" fillId="0" borderId="23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24" xfId="0" applyNumberFormat="1" applyFont="1" applyBorder="1" applyAlignment="1">
      <alignment horizontal="right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right" vertical="center" wrapText="1"/>
    </xf>
    <xf numFmtId="4" fontId="8" fillId="0" borderId="27" xfId="0" applyNumberFormat="1" applyFont="1" applyBorder="1" applyAlignment="1">
      <alignment horizontal="right" vertical="center" wrapText="1"/>
    </xf>
    <xf numFmtId="4" fontId="8" fillId="0" borderId="28" xfId="0" applyNumberFormat="1" applyFont="1" applyBorder="1" applyAlignment="1">
      <alignment horizontal="righ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right" vertical="center" wrapText="1"/>
    </xf>
    <xf numFmtId="171" fontId="6" fillId="0" borderId="0" xfId="0" applyNumberFormat="1" applyFont="1" applyAlignment="1">
      <alignment vertical="center"/>
    </xf>
    <xf numFmtId="0" fontId="7" fillId="0" borderId="25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right" vertical="center" wrapText="1"/>
    </xf>
    <xf numFmtId="4" fontId="4" fillId="0" borderId="29" xfId="50" applyNumberFormat="1" applyFont="1" applyFill="1" applyBorder="1" applyAlignment="1">
      <alignment vertical="center"/>
      <protection/>
    </xf>
    <xf numFmtId="4" fontId="4" fillId="0" borderId="29" xfId="51" applyNumberFormat="1" applyFont="1" applyFill="1" applyBorder="1" applyAlignment="1">
      <alignment vertical="center"/>
      <protection/>
    </xf>
    <xf numFmtId="4" fontId="7" fillId="0" borderId="30" xfId="0" applyNumberFormat="1" applyFont="1" applyBorder="1" applyAlignment="1">
      <alignment horizontal="right" vertical="center" wrapText="1"/>
    </xf>
    <xf numFmtId="4" fontId="8" fillId="0" borderId="31" xfId="0" applyNumberFormat="1" applyFont="1" applyBorder="1" applyAlignment="1">
      <alignment horizontal="right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11" xfId="52" applyFont="1" applyBorder="1" applyAlignment="1">
      <alignment horizontal="center" vertical="center"/>
      <protection/>
    </xf>
    <xf numFmtId="4" fontId="4" fillId="0" borderId="11" xfId="50" applyNumberFormat="1" applyFont="1" applyFill="1" applyBorder="1" applyAlignment="1">
      <alignment vertical="center"/>
      <protection/>
    </xf>
    <xf numFmtId="4" fontId="1" fillId="0" borderId="17" xfId="50" applyNumberFormat="1" applyFont="1" applyFill="1" applyBorder="1" applyAlignment="1">
      <alignment vertical="center"/>
      <protection/>
    </xf>
    <xf numFmtId="0" fontId="4" fillId="0" borderId="33" xfId="51" applyFont="1" applyFill="1" applyBorder="1" applyAlignment="1">
      <alignment vertical="center" wrapText="1"/>
      <protection/>
    </xf>
    <xf numFmtId="0" fontId="4" fillId="0" borderId="16" xfId="51" applyFont="1" applyFill="1" applyBorder="1" applyAlignment="1">
      <alignment vertical="center"/>
      <protection/>
    </xf>
    <xf numFmtId="49" fontId="4" fillId="0" borderId="33" xfId="51" applyNumberFormat="1" applyFont="1" applyFill="1" applyBorder="1" applyAlignment="1">
      <alignment horizontal="center" vertical="center"/>
      <protection/>
    </xf>
    <xf numFmtId="0" fontId="1" fillId="0" borderId="34" xfId="51" applyFont="1" applyFill="1" applyBorder="1" applyAlignment="1">
      <alignment horizontal="center" vertical="center"/>
      <protection/>
    </xf>
    <xf numFmtId="4" fontId="1" fillId="0" borderId="35" xfId="51" applyNumberFormat="1" applyFont="1" applyFill="1" applyBorder="1" applyAlignment="1">
      <alignment vertical="center"/>
      <protection/>
    </xf>
    <xf numFmtId="0" fontId="4" fillId="0" borderId="32" xfId="0" applyFont="1" applyFill="1" applyBorder="1" applyAlignment="1">
      <alignment horizontal="center" vertical="center"/>
    </xf>
    <xf numFmtId="0" fontId="5" fillId="0" borderId="0" xfId="50" applyFont="1" applyFill="1" applyAlignment="1">
      <alignment vertical="center"/>
      <protection/>
    </xf>
    <xf numFmtId="0" fontId="1" fillId="0" borderId="27" xfId="49" applyFont="1" applyBorder="1" applyAlignment="1">
      <alignment horizontal="center" vertical="center"/>
      <protection/>
    </xf>
    <xf numFmtId="0" fontId="1" fillId="0" borderId="36" xfId="49" applyFont="1" applyBorder="1" applyAlignment="1">
      <alignment horizontal="center" vertical="center"/>
      <protection/>
    </xf>
    <xf numFmtId="0" fontId="1" fillId="0" borderId="28" xfId="49" applyFont="1" applyBorder="1" applyAlignment="1">
      <alignment horizontal="left" vertical="center"/>
      <protection/>
    </xf>
    <xf numFmtId="4" fontId="1" fillId="0" borderId="36" xfId="49" applyNumberFormat="1" applyFont="1" applyBorder="1" applyAlignment="1">
      <alignment vertical="center"/>
      <protection/>
    </xf>
    <xf numFmtId="4" fontId="1" fillId="0" borderId="29" xfId="49" applyNumberFormat="1" applyFont="1" applyBorder="1" applyAlignment="1">
      <alignment vertical="center"/>
      <protection/>
    </xf>
    <xf numFmtId="0" fontId="5" fillId="0" borderId="0" xfId="51" applyFont="1" applyFill="1" applyAlignment="1">
      <alignment vertical="center"/>
      <protection/>
    </xf>
    <xf numFmtId="0" fontId="0" fillId="0" borderId="0" xfId="51" applyFont="1" applyFill="1" applyAlignment="1">
      <alignment vertical="center"/>
      <protection/>
    </xf>
    <xf numFmtId="0" fontId="1" fillId="0" borderId="34" xfId="49" applyFont="1" applyBorder="1" applyAlignment="1">
      <alignment horizontal="center" vertical="center"/>
      <protection/>
    </xf>
    <xf numFmtId="0" fontId="1" fillId="0" borderId="37" xfId="49" applyFont="1" applyBorder="1" applyAlignment="1">
      <alignment horizontal="left" vertical="center"/>
      <protection/>
    </xf>
    <xf numFmtId="4" fontId="1" fillId="0" borderId="0" xfId="49" applyNumberFormat="1" applyFont="1" applyBorder="1" applyAlignment="1">
      <alignment vertical="center"/>
      <protection/>
    </xf>
    <xf numFmtId="4" fontId="1" fillId="0" borderId="38" xfId="49" applyNumberFormat="1" applyFont="1" applyBorder="1" applyAlignment="1">
      <alignment vertical="center"/>
      <protection/>
    </xf>
    <xf numFmtId="0" fontId="1" fillId="0" borderId="19" xfId="49" applyFont="1" applyFill="1" applyBorder="1" applyAlignment="1">
      <alignment horizontal="center" vertical="center"/>
      <protection/>
    </xf>
    <xf numFmtId="0" fontId="1" fillId="0" borderId="33" xfId="49" applyFont="1" applyBorder="1" applyAlignment="1">
      <alignment horizontal="center" vertical="center"/>
      <protection/>
    </xf>
    <xf numFmtId="0" fontId="1" fillId="0" borderId="33" xfId="49" applyFont="1" applyBorder="1" applyAlignment="1">
      <alignment vertical="center"/>
      <protection/>
    </xf>
    <xf numFmtId="0" fontId="1" fillId="0" borderId="34" xfId="49" applyFont="1" applyFill="1" applyBorder="1" applyAlignment="1">
      <alignment horizontal="center" vertical="center"/>
      <protection/>
    </xf>
    <xf numFmtId="0" fontId="1" fillId="0" borderId="39" xfId="49" applyFont="1" applyBorder="1" applyAlignment="1">
      <alignment horizontal="center" vertical="center"/>
      <protection/>
    </xf>
    <xf numFmtId="0" fontId="1" fillId="0" borderId="39" xfId="49" applyFont="1" applyBorder="1" applyAlignment="1">
      <alignment vertical="center"/>
      <protection/>
    </xf>
    <xf numFmtId="4" fontId="1" fillId="0" borderId="35" xfId="49" applyNumberFormat="1" applyFont="1" applyBorder="1" applyAlignment="1">
      <alignment vertical="center"/>
      <protection/>
    </xf>
    <xf numFmtId="0" fontId="31" fillId="0" borderId="30" xfId="51" applyFont="1" applyFill="1" applyBorder="1" applyAlignment="1">
      <alignment horizontal="center" vertical="center" wrapText="1"/>
      <protection/>
    </xf>
    <xf numFmtId="4" fontId="1" fillId="0" borderId="35" xfId="50" applyNumberFormat="1" applyFont="1" applyFill="1" applyBorder="1" applyAlignment="1">
      <alignment vertical="center"/>
      <protection/>
    </xf>
    <xf numFmtId="0" fontId="1" fillId="0" borderId="30" xfId="49" applyFont="1" applyFill="1" applyBorder="1" applyAlignment="1">
      <alignment horizontal="center" vertical="center"/>
      <protection/>
    </xf>
    <xf numFmtId="0" fontId="1" fillId="0" borderId="37" xfId="49" applyFont="1" applyBorder="1" applyAlignment="1">
      <alignment vertical="center"/>
      <protection/>
    </xf>
    <xf numFmtId="4" fontId="1" fillId="0" borderId="40" xfId="49" applyNumberFormat="1" applyFont="1" applyBorder="1" applyAlignment="1">
      <alignment vertical="center"/>
      <protection/>
    </xf>
    <xf numFmtId="4" fontId="1" fillId="0" borderId="11" xfId="49" applyNumberFormat="1" applyFont="1" applyBorder="1" applyAlignment="1">
      <alignment vertical="center"/>
      <protection/>
    </xf>
    <xf numFmtId="49" fontId="31" fillId="0" borderId="41" xfId="51" applyNumberFormat="1" applyFont="1" applyFill="1" applyBorder="1" applyAlignment="1">
      <alignment horizontal="center" vertical="center" wrapText="1"/>
      <protection/>
    </xf>
    <xf numFmtId="0" fontId="31" fillId="0" borderId="42" xfId="51" applyFont="1" applyFill="1" applyBorder="1" applyAlignment="1">
      <alignment horizontal="center" vertical="center" wrapText="1"/>
      <protection/>
    </xf>
    <xf numFmtId="49" fontId="31" fillId="0" borderId="30" xfId="51" applyNumberFormat="1" applyFont="1" applyFill="1" applyBorder="1" applyAlignment="1">
      <alignment horizontal="center" vertical="center" wrapText="1"/>
      <protection/>
    </xf>
    <xf numFmtId="4" fontId="31" fillId="0" borderId="29" xfId="51" applyNumberFormat="1" applyFont="1" applyFill="1" applyBorder="1" applyAlignment="1">
      <alignment vertical="center" wrapText="1"/>
      <protection/>
    </xf>
    <xf numFmtId="4" fontId="1" fillId="0" borderId="43" xfId="51" applyNumberFormat="1" applyFont="1" applyFill="1" applyBorder="1" applyAlignment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0" borderId="10" xfId="50" applyNumberFormat="1" applyFont="1" applyFill="1" applyBorder="1" applyAlignment="1">
      <alignment horizontal="center" vertical="center"/>
      <protection/>
    </xf>
    <xf numFmtId="2" fontId="4" fillId="0" borderId="44" xfId="50" applyNumberFormat="1" applyFont="1" applyBorder="1" applyAlignment="1">
      <alignment horizontal="center" vertical="center"/>
      <protection/>
    </xf>
    <xf numFmtId="2" fontId="4" fillId="0" borderId="24" xfId="50" applyNumberFormat="1" applyFont="1" applyBorder="1" applyAlignment="1">
      <alignment horizontal="center" vertical="center"/>
      <protection/>
    </xf>
    <xf numFmtId="2" fontId="4" fillId="0" borderId="45" xfId="50" applyNumberFormat="1" applyFont="1" applyBorder="1" applyAlignment="1">
      <alignment horizontal="center" vertical="center"/>
      <protection/>
    </xf>
    <xf numFmtId="2" fontId="4" fillId="0" borderId="46" xfId="50" applyNumberFormat="1" applyFont="1" applyBorder="1" applyAlignment="1">
      <alignment horizontal="center" vertical="center"/>
      <protection/>
    </xf>
    <xf numFmtId="4" fontId="4" fillId="0" borderId="25" xfId="50" applyNumberFormat="1" applyFont="1" applyFill="1" applyBorder="1" applyAlignment="1">
      <alignment vertical="center"/>
      <protection/>
    </xf>
    <xf numFmtId="2" fontId="4" fillId="0" borderId="42" xfId="50" applyNumberFormat="1" applyFont="1" applyBorder="1" applyAlignment="1">
      <alignment horizontal="center" vertical="center"/>
      <protection/>
    </xf>
    <xf numFmtId="49" fontId="4" fillId="0" borderId="30" xfId="50" applyNumberFormat="1" applyFont="1" applyBorder="1" applyAlignment="1">
      <alignment horizontal="center" vertical="center"/>
      <protection/>
    </xf>
    <xf numFmtId="2" fontId="4" fillId="0" borderId="30" xfId="50" applyNumberFormat="1" applyFont="1" applyBorder="1" applyAlignment="1">
      <alignment horizontal="center" vertical="center"/>
      <protection/>
    </xf>
    <xf numFmtId="2" fontId="4" fillId="0" borderId="33" xfId="50" applyNumberFormat="1" applyFont="1" applyBorder="1" applyAlignment="1">
      <alignment vertical="center"/>
      <protection/>
    </xf>
    <xf numFmtId="4" fontId="4" fillId="0" borderId="41" xfId="50" applyNumberFormat="1" applyFont="1" applyFill="1" applyBorder="1" applyAlignment="1">
      <alignment vertical="center"/>
      <protection/>
    </xf>
    <xf numFmtId="2" fontId="1" fillId="0" borderId="47" xfId="50" applyNumberFormat="1" applyFont="1" applyBorder="1" applyAlignment="1">
      <alignment horizontal="center" vertical="center"/>
      <protection/>
    </xf>
    <xf numFmtId="2" fontId="1" fillId="0" borderId="31" xfId="50" applyNumberFormat="1" applyFont="1" applyBorder="1" applyAlignment="1">
      <alignment horizontal="center" vertical="center"/>
      <protection/>
    </xf>
    <xf numFmtId="1" fontId="1" fillId="0" borderId="31" xfId="50" applyNumberFormat="1" applyFont="1" applyBorder="1" applyAlignment="1">
      <alignment horizontal="center" vertical="center"/>
      <protection/>
    </xf>
    <xf numFmtId="2" fontId="1" fillId="0" borderId="48" xfId="50" applyNumberFormat="1" applyFont="1" applyBorder="1" applyAlignment="1">
      <alignment vertical="center"/>
      <protection/>
    </xf>
    <xf numFmtId="4" fontId="1" fillId="0" borderId="43" xfId="50" applyNumberFormat="1" applyFont="1" applyFill="1" applyBorder="1" applyAlignment="1">
      <alignment vertical="center"/>
      <protection/>
    </xf>
    <xf numFmtId="4" fontId="1" fillId="0" borderId="49" xfId="50" applyNumberFormat="1" applyFont="1" applyFill="1" applyBorder="1" applyAlignment="1">
      <alignment vertical="center"/>
      <protection/>
    </xf>
    <xf numFmtId="0" fontId="4" fillId="0" borderId="42" xfId="50" applyFont="1" applyFill="1" applyBorder="1" applyAlignment="1">
      <alignment horizontal="center" vertical="center"/>
      <protection/>
    </xf>
    <xf numFmtId="49" fontId="4" fillId="0" borderId="30" xfId="50" applyNumberFormat="1" applyFont="1" applyFill="1" applyBorder="1" applyAlignment="1">
      <alignment horizontal="center" vertical="center" wrapText="1"/>
      <protection/>
    </xf>
    <xf numFmtId="0" fontId="4" fillId="0" borderId="30" xfId="50" applyFont="1" applyFill="1" applyBorder="1" applyAlignment="1">
      <alignment horizontal="center" vertical="center"/>
      <protection/>
    </xf>
    <xf numFmtId="0" fontId="4" fillId="0" borderId="16" xfId="50" applyFont="1" applyFill="1" applyBorder="1" applyAlignment="1">
      <alignment vertical="center"/>
      <protection/>
    </xf>
    <xf numFmtId="0" fontId="1" fillId="0" borderId="50" xfId="50" applyFont="1" applyFill="1" applyBorder="1" applyAlignment="1">
      <alignment horizontal="center" vertical="center"/>
      <protection/>
    </xf>
    <xf numFmtId="2" fontId="4" fillId="0" borderId="19" xfId="50" applyNumberFormat="1" applyFont="1" applyBorder="1" applyAlignment="1">
      <alignment horizontal="center" vertical="center"/>
      <protection/>
    </xf>
    <xf numFmtId="1" fontId="1" fillId="0" borderId="19" xfId="50" applyNumberFormat="1" applyFont="1" applyFill="1" applyBorder="1" applyAlignment="1">
      <alignment horizontal="center" vertical="center"/>
      <protection/>
    </xf>
    <xf numFmtId="0" fontId="32" fillId="0" borderId="20" xfId="48" applyFont="1" applyFill="1" applyBorder="1" applyAlignment="1">
      <alignment vertical="center" wrapText="1"/>
      <protection/>
    </xf>
    <xf numFmtId="1" fontId="1" fillId="0" borderId="31" xfId="50" applyNumberFormat="1" applyFont="1" applyFill="1" applyBorder="1" applyAlignment="1">
      <alignment horizontal="center" vertical="center"/>
      <protection/>
    </xf>
    <xf numFmtId="0" fontId="32" fillId="0" borderId="18" xfId="48" applyFont="1" applyFill="1" applyBorder="1" applyAlignment="1">
      <alignment vertical="center" wrapText="1"/>
      <protection/>
    </xf>
    <xf numFmtId="49" fontId="4" fillId="0" borderId="30" xfId="51" applyNumberFormat="1" applyFont="1" applyFill="1" applyBorder="1" applyAlignment="1">
      <alignment horizontal="center" vertical="center" wrapText="1"/>
      <protection/>
    </xf>
    <xf numFmtId="1" fontId="4" fillId="0" borderId="30" xfId="51" applyNumberFormat="1" applyFont="1" applyBorder="1" applyAlignment="1">
      <alignment horizontal="center" vertical="center" wrapText="1"/>
      <protection/>
    </xf>
    <xf numFmtId="2" fontId="4" fillId="0" borderId="33" xfId="51" applyNumberFormat="1" applyFont="1" applyFill="1" applyBorder="1" applyAlignment="1">
      <alignment vertical="center" wrapText="1"/>
      <protection/>
    </xf>
    <xf numFmtId="0" fontId="1" fillId="0" borderId="47" xfId="50" applyFont="1" applyFill="1" applyBorder="1" applyAlignment="1">
      <alignment horizontal="center" vertical="center"/>
      <protection/>
    </xf>
    <xf numFmtId="2" fontId="4" fillId="0" borderId="34" xfId="51" applyNumberFormat="1" applyFont="1" applyBorder="1" applyAlignment="1">
      <alignment horizontal="center" vertical="center"/>
      <protection/>
    </xf>
    <xf numFmtId="1" fontId="1" fillId="0" borderId="34" xfId="51" applyNumberFormat="1" applyFont="1" applyFill="1" applyBorder="1" applyAlignment="1">
      <alignment horizontal="center" vertical="center"/>
      <protection/>
    </xf>
    <xf numFmtId="1" fontId="1" fillId="0" borderId="48" xfId="51" applyNumberFormat="1" applyFont="1" applyFill="1" applyBorder="1" applyAlignment="1">
      <alignment horizontal="center" vertical="center"/>
      <protection/>
    </xf>
    <xf numFmtId="0" fontId="1" fillId="0" borderId="48" xfId="51" applyFont="1" applyBorder="1" applyAlignment="1">
      <alignment vertical="center"/>
      <protection/>
    </xf>
    <xf numFmtId="0" fontId="32" fillId="0" borderId="48" xfId="48" applyFont="1" applyFill="1" applyBorder="1" applyAlignment="1">
      <alignment vertical="center"/>
      <protection/>
    </xf>
    <xf numFmtId="171" fontId="1" fillId="0" borderId="43" xfId="50" applyNumberFormat="1" applyFont="1" applyFill="1" applyBorder="1" applyAlignment="1">
      <alignment vertical="center"/>
      <protection/>
    </xf>
    <xf numFmtId="0" fontId="39" fillId="0" borderId="51" xfId="51" applyFont="1" applyFill="1" applyBorder="1" applyAlignment="1">
      <alignment horizontal="center" vertical="center"/>
      <protection/>
    </xf>
    <xf numFmtId="0" fontId="39" fillId="0" borderId="12" xfId="51" applyFont="1" applyFill="1" applyBorder="1" applyAlignment="1">
      <alignment horizontal="center" vertical="center"/>
      <protection/>
    </xf>
    <xf numFmtId="0" fontId="40" fillId="0" borderId="24" xfId="51" applyFont="1" applyFill="1" applyBorder="1" applyAlignment="1">
      <alignment horizontal="center" vertical="center"/>
      <protection/>
    </xf>
    <xf numFmtId="0" fontId="39" fillId="0" borderId="13" xfId="51" applyFont="1" applyFill="1" applyBorder="1" applyAlignment="1">
      <alignment vertical="center" wrapText="1"/>
      <protection/>
    </xf>
    <xf numFmtId="4" fontId="39" fillId="0" borderId="11" xfId="51" applyNumberFormat="1" applyFont="1" applyFill="1" applyBorder="1" applyAlignment="1">
      <alignment vertical="center"/>
      <protection/>
    </xf>
    <xf numFmtId="171" fontId="0" fillId="0" borderId="0" xfId="0" applyNumberFormat="1" applyAlignment="1">
      <alignment vertical="center"/>
    </xf>
    <xf numFmtId="0" fontId="4" fillId="0" borderId="42" xfId="51" applyFont="1" applyFill="1" applyBorder="1" applyAlignment="1">
      <alignment horizontal="center" vertical="center"/>
      <protection/>
    </xf>
    <xf numFmtId="0" fontId="4" fillId="0" borderId="30" xfId="51" applyFont="1" applyFill="1" applyBorder="1" applyAlignment="1">
      <alignment horizontal="center" vertical="center"/>
      <protection/>
    </xf>
    <xf numFmtId="0" fontId="1" fillId="0" borderId="52" xfId="51" applyFont="1" applyFill="1" applyBorder="1" applyAlignment="1">
      <alignment horizontal="center" vertical="center"/>
      <protection/>
    </xf>
    <xf numFmtId="2" fontId="4" fillId="0" borderId="31" xfId="50" applyNumberFormat="1" applyFont="1" applyBorder="1" applyAlignment="1">
      <alignment horizontal="center" vertical="center"/>
      <protection/>
    </xf>
    <xf numFmtId="1" fontId="1" fillId="0" borderId="31" xfId="51" applyNumberFormat="1" applyFont="1" applyFill="1" applyBorder="1" applyAlignment="1">
      <alignment horizontal="center" vertical="center"/>
      <protection/>
    </xf>
    <xf numFmtId="2" fontId="1" fillId="0" borderId="31" xfId="51" applyNumberFormat="1" applyFont="1" applyBorder="1" applyAlignment="1">
      <alignment horizontal="left" vertical="center"/>
      <protection/>
    </xf>
    <xf numFmtId="0" fontId="1" fillId="0" borderId="50" xfId="51" applyFont="1" applyFill="1" applyBorder="1" applyAlignment="1">
      <alignment horizontal="center" vertical="center"/>
      <protection/>
    </xf>
    <xf numFmtId="1" fontId="1" fillId="0" borderId="19" xfId="51" applyNumberFormat="1" applyFont="1" applyFill="1" applyBorder="1" applyAlignment="1">
      <alignment horizontal="center" vertical="center"/>
      <protection/>
    </xf>
    <xf numFmtId="2" fontId="1" fillId="0" borderId="19" xfId="51" applyNumberFormat="1" applyFont="1" applyBorder="1" applyAlignment="1">
      <alignment horizontal="left" vertical="center"/>
      <protection/>
    </xf>
    <xf numFmtId="4" fontId="1" fillId="0" borderId="17" xfId="51" applyNumberFormat="1" applyFont="1" applyFill="1" applyBorder="1" applyAlignment="1">
      <alignment vertical="center"/>
      <protection/>
    </xf>
    <xf numFmtId="0" fontId="1" fillId="0" borderId="47" xfId="51" applyFont="1" applyFill="1" applyBorder="1" applyAlignment="1">
      <alignment horizontal="center" vertical="center"/>
      <protection/>
    </xf>
    <xf numFmtId="0" fontId="32" fillId="0" borderId="53" xfId="48" applyFont="1" applyFill="1" applyBorder="1" applyAlignment="1">
      <alignment vertical="center" wrapText="1"/>
      <protection/>
    </xf>
    <xf numFmtId="2" fontId="4" fillId="0" borderId="31" xfId="51" applyNumberFormat="1" applyFont="1" applyBorder="1" applyAlignment="1">
      <alignment horizontal="center" vertical="center"/>
      <protection/>
    </xf>
    <xf numFmtId="2" fontId="4" fillId="0" borderId="19" xfId="51" applyNumberFormat="1" applyFont="1" applyBorder="1" applyAlignment="1">
      <alignment horizontal="center" vertical="center"/>
      <protection/>
    </xf>
    <xf numFmtId="171" fontId="4" fillId="0" borderId="29" xfId="51" applyNumberFormat="1" applyFont="1" applyFill="1" applyBorder="1" applyAlignment="1">
      <alignment vertical="center"/>
      <protection/>
    </xf>
    <xf numFmtId="0" fontId="1" fillId="0" borderId="54" xfId="51" applyFont="1" applyFill="1" applyBorder="1" applyAlignment="1">
      <alignment horizontal="center" vertical="center"/>
      <protection/>
    </xf>
    <xf numFmtId="49" fontId="1" fillId="0" borderId="18" xfId="51" applyNumberFormat="1" applyFont="1" applyFill="1" applyBorder="1" applyAlignment="1">
      <alignment horizontal="center" vertical="center"/>
      <protection/>
    </xf>
    <xf numFmtId="2" fontId="1" fillId="0" borderId="17" xfId="47" applyNumberFormat="1" applyFont="1" applyFill="1" applyBorder="1" applyAlignment="1">
      <alignment horizontal="right" vertical="center"/>
      <protection/>
    </xf>
    <xf numFmtId="2" fontId="1" fillId="0" borderId="31" xfId="51" applyNumberFormat="1" applyFont="1" applyFill="1" applyBorder="1" applyAlignment="1">
      <alignment horizontal="left" vertical="center"/>
      <protection/>
    </xf>
    <xf numFmtId="2" fontId="1" fillId="0" borderId="19" xfId="51" applyNumberFormat="1" applyFont="1" applyFill="1" applyBorder="1" applyAlignment="1">
      <alignment horizontal="left" vertical="center"/>
      <protection/>
    </xf>
    <xf numFmtId="4" fontId="1" fillId="0" borderId="14" xfId="51" applyNumberFormat="1" applyFont="1" applyFill="1" applyBorder="1" applyAlignment="1">
      <alignment vertical="center"/>
      <protection/>
    </xf>
    <xf numFmtId="171" fontId="1" fillId="0" borderId="17" xfId="50" applyNumberFormat="1" applyFont="1" applyFill="1" applyBorder="1" applyAlignment="1">
      <alignment vertical="center"/>
      <protection/>
    </xf>
    <xf numFmtId="0" fontId="32" fillId="0" borderId="37" xfId="48" applyFont="1" applyFill="1" applyBorder="1" applyAlignment="1">
      <alignment vertical="center" wrapText="1"/>
      <protection/>
    </xf>
    <xf numFmtId="49" fontId="31" fillId="0" borderId="55" xfId="51" applyNumberFormat="1" applyFont="1" applyFill="1" applyBorder="1" applyAlignment="1">
      <alignment horizontal="center" vertical="center"/>
      <protection/>
    </xf>
    <xf numFmtId="0" fontId="31" fillId="0" borderId="30" xfId="51" applyFont="1" applyFill="1" applyBorder="1" applyAlignment="1">
      <alignment horizontal="center" vertical="center"/>
      <protection/>
    </xf>
    <xf numFmtId="49" fontId="31" fillId="0" borderId="30" xfId="51" applyNumberFormat="1" applyFont="1" applyFill="1" applyBorder="1" applyAlignment="1">
      <alignment horizontal="center" vertical="center"/>
      <protection/>
    </xf>
    <xf numFmtId="0" fontId="31" fillId="0" borderId="16" xfId="48" applyFont="1" applyFill="1" applyBorder="1" applyAlignment="1">
      <alignment vertical="center"/>
      <protection/>
    </xf>
    <xf numFmtId="49" fontId="1" fillId="0" borderId="32" xfId="51" applyNumberFormat="1" applyFont="1" applyFill="1" applyBorder="1" applyAlignment="1">
      <alignment horizontal="center" vertical="center"/>
      <protection/>
    </xf>
    <xf numFmtId="49" fontId="1" fillId="0" borderId="31" xfId="51" applyNumberFormat="1" applyFont="1" applyFill="1" applyBorder="1" applyAlignment="1">
      <alignment horizontal="center" vertical="center"/>
      <protection/>
    </xf>
    <xf numFmtId="0" fontId="1" fillId="0" borderId="31" xfId="51" applyFont="1" applyFill="1" applyBorder="1" applyAlignment="1">
      <alignment horizontal="center" vertical="center"/>
      <protection/>
    </xf>
    <xf numFmtId="49" fontId="1" fillId="0" borderId="48" xfId="51" applyNumberFormat="1" applyFont="1" applyFill="1" applyBorder="1" applyAlignment="1">
      <alignment horizontal="center" vertical="center"/>
      <protection/>
    </xf>
    <xf numFmtId="0" fontId="1" fillId="0" borderId="53" xfId="48" applyFont="1" applyFill="1" applyBorder="1" applyAlignment="1">
      <alignment vertical="center"/>
      <protection/>
    </xf>
    <xf numFmtId="49" fontId="4" fillId="24" borderId="25" xfId="51" applyNumberFormat="1" applyFont="1" applyFill="1" applyBorder="1" applyAlignment="1">
      <alignment horizontal="center" vertical="center"/>
      <protection/>
    </xf>
    <xf numFmtId="0" fontId="4" fillId="24" borderId="51" xfId="51" applyFont="1" applyFill="1" applyBorder="1" applyAlignment="1">
      <alignment horizontal="center" vertical="center"/>
      <protection/>
    </xf>
    <xf numFmtId="49" fontId="4" fillId="24" borderId="24" xfId="51" applyNumberFormat="1" applyFont="1" applyFill="1" applyBorder="1" applyAlignment="1">
      <alignment horizontal="center" vertical="center"/>
      <protection/>
    </xf>
    <xf numFmtId="0" fontId="4" fillId="24" borderId="24" xfId="51" applyFont="1" applyFill="1" applyBorder="1" applyAlignment="1">
      <alignment horizontal="center" vertical="center"/>
      <protection/>
    </xf>
    <xf numFmtId="49" fontId="4" fillId="24" borderId="12" xfId="51" applyNumberFormat="1" applyFont="1" applyFill="1" applyBorder="1" applyAlignment="1">
      <alignment horizontal="center" vertical="center"/>
      <protection/>
    </xf>
    <xf numFmtId="0" fontId="4" fillId="24" borderId="13" xfId="51" applyFont="1" applyFill="1" applyBorder="1" applyAlignment="1">
      <alignment horizontal="left" vertical="center"/>
      <protection/>
    </xf>
    <xf numFmtId="4" fontId="4" fillId="24" borderId="56" xfId="51" applyNumberFormat="1" applyFont="1" applyFill="1" applyBorder="1" applyAlignment="1">
      <alignment vertical="center"/>
      <protection/>
    </xf>
    <xf numFmtId="0" fontId="1" fillId="0" borderId="0" xfId="0" applyFont="1" applyAlignment="1">
      <alignment vertical="center"/>
    </xf>
    <xf numFmtId="173" fontId="0" fillId="0" borderId="0" xfId="0" applyNumberFormat="1" applyAlignment="1">
      <alignment vertical="center"/>
    </xf>
    <xf numFmtId="4" fontId="4" fillId="0" borderId="41" xfId="51" applyNumberFormat="1" applyFont="1" applyFill="1" applyBorder="1" applyAlignment="1">
      <alignment vertical="center"/>
      <protection/>
    </xf>
    <xf numFmtId="0" fontId="1" fillId="25" borderId="31" xfId="54" applyFont="1" applyFill="1" applyBorder="1" applyAlignment="1">
      <alignment horizontal="center" vertical="center"/>
      <protection/>
    </xf>
    <xf numFmtId="0" fontId="1" fillId="25" borderId="57" xfId="54" applyFont="1" applyFill="1" applyBorder="1" applyAlignment="1">
      <alignment horizontal="center" vertical="center"/>
      <protection/>
    </xf>
    <xf numFmtId="0" fontId="1" fillId="25" borderId="31" xfId="54" applyFont="1" applyFill="1" applyBorder="1" applyAlignment="1">
      <alignment vertical="center" wrapText="1"/>
      <protection/>
    </xf>
    <xf numFmtId="0" fontId="1" fillId="0" borderId="58" xfId="51" applyFont="1" applyFill="1" applyBorder="1" applyAlignment="1">
      <alignment horizontal="center" vertical="center"/>
      <protection/>
    </xf>
    <xf numFmtId="2" fontId="4" fillId="0" borderId="59" xfId="51" applyNumberFormat="1" applyFont="1" applyBorder="1" applyAlignment="1">
      <alignment horizontal="center" vertical="center"/>
      <protection/>
    </xf>
    <xf numFmtId="1" fontId="1" fillId="0" borderId="39" xfId="51" applyNumberFormat="1" applyFont="1" applyFill="1" applyBorder="1" applyAlignment="1">
      <alignment horizontal="center" vertical="center"/>
      <protection/>
    </xf>
    <xf numFmtId="2" fontId="1" fillId="0" borderId="37" xfId="51" applyNumberFormat="1" applyFont="1" applyFill="1" applyBorder="1" applyAlignment="1">
      <alignment horizontal="left" vertical="center"/>
      <protection/>
    </xf>
    <xf numFmtId="4" fontId="1" fillId="0" borderId="60" xfId="51" applyNumberFormat="1" applyFont="1" applyFill="1" applyBorder="1" applyAlignment="1">
      <alignment vertical="center"/>
      <protection/>
    </xf>
    <xf numFmtId="0" fontId="1" fillId="0" borderId="34" xfId="51" applyFont="1" applyBorder="1" applyAlignment="1">
      <alignment horizontal="center" vertical="center"/>
      <protection/>
    </xf>
    <xf numFmtId="0" fontId="1" fillId="0" borderId="27" xfId="51" applyFont="1" applyFill="1" applyBorder="1" applyAlignment="1">
      <alignment horizontal="left" vertical="center" wrapText="1"/>
      <protection/>
    </xf>
    <xf numFmtId="2" fontId="1" fillId="0" borderId="53" xfId="51" applyNumberFormat="1" applyFont="1" applyFill="1" applyBorder="1" applyAlignment="1">
      <alignment horizontal="left" vertical="center"/>
      <protection/>
    </xf>
    <xf numFmtId="171" fontId="1" fillId="0" borderId="35" xfId="51" applyNumberFormat="1" applyFont="1" applyFill="1" applyBorder="1" applyAlignment="1">
      <alignment vertical="center"/>
      <protection/>
    </xf>
    <xf numFmtId="1" fontId="1" fillId="0" borderId="18" xfId="51" applyNumberFormat="1" applyFont="1" applyFill="1" applyBorder="1" applyAlignment="1">
      <alignment horizontal="center" vertical="center"/>
      <protection/>
    </xf>
    <xf numFmtId="2" fontId="1" fillId="0" borderId="20" xfId="51" applyNumberFormat="1" applyFont="1" applyFill="1" applyBorder="1" applyAlignment="1">
      <alignment horizontal="left" vertical="center"/>
      <protection/>
    </xf>
    <xf numFmtId="4" fontId="1" fillId="0" borderId="61" xfId="51" applyNumberFormat="1" applyFont="1" applyFill="1" applyBorder="1" applyAlignment="1">
      <alignment vertical="center"/>
      <protection/>
    </xf>
    <xf numFmtId="0" fontId="1" fillId="0" borderId="36" xfId="51" applyFont="1" applyFill="1" applyBorder="1" applyAlignment="1">
      <alignment horizontal="center" vertical="center"/>
      <protection/>
    </xf>
    <xf numFmtId="2" fontId="1" fillId="26" borderId="19" xfId="51" applyNumberFormat="1" applyFont="1" applyFill="1" applyBorder="1" applyAlignment="1">
      <alignment horizontal="center" vertical="center"/>
      <protection/>
    </xf>
    <xf numFmtId="2" fontId="1" fillId="27" borderId="34" xfId="51" applyNumberFormat="1" applyFont="1" applyFill="1" applyBorder="1" applyAlignment="1">
      <alignment horizontal="center" vertical="center"/>
      <protection/>
    </xf>
    <xf numFmtId="2" fontId="1" fillId="0" borderId="35" xfId="47" applyNumberFormat="1" applyFont="1" applyFill="1" applyBorder="1" applyAlignment="1">
      <alignment horizontal="right" vertical="center"/>
      <protection/>
    </xf>
    <xf numFmtId="0" fontId="30" fillId="0" borderId="0" xfId="51" applyFont="1" applyFill="1" applyAlignment="1">
      <alignment horizontal="center" vertical="center"/>
      <protection/>
    </xf>
    <xf numFmtId="0" fontId="5" fillId="0" borderId="0" xfId="51" applyFont="1" applyFill="1" applyAlignment="1">
      <alignment horizontal="center" vertical="center"/>
      <protection/>
    </xf>
    <xf numFmtId="0" fontId="4" fillId="0" borderId="0" xfId="51" applyFont="1" applyFill="1" applyAlignment="1">
      <alignment horizontal="center" vertical="center"/>
      <protection/>
    </xf>
    <xf numFmtId="0" fontId="4" fillId="0" borderId="11" xfId="51" applyFont="1" applyFill="1" applyBorder="1" applyAlignment="1">
      <alignment horizontal="center" vertical="center"/>
      <protection/>
    </xf>
    <xf numFmtId="49" fontId="4" fillId="0" borderId="25" xfId="51" applyNumberFormat="1" applyFont="1" applyFill="1" applyBorder="1" applyAlignment="1">
      <alignment horizontal="center" vertical="center"/>
      <protection/>
    </xf>
    <xf numFmtId="0" fontId="4" fillId="0" borderId="51" xfId="51" applyFont="1" applyFill="1" applyBorder="1" applyAlignment="1">
      <alignment horizontal="center" vertical="center"/>
      <protection/>
    </xf>
    <xf numFmtId="49" fontId="4" fillId="0" borderId="24" xfId="51" applyNumberFormat="1" applyFont="1" applyFill="1" applyBorder="1" applyAlignment="1">
      <alignment horizontal="center" vertical="center"/>
      <protection/>
    </xf>
    <xf numFmtId="0" fontId="4" fillId="0" borderId="24" xfId="51" applyFont="1" applyFill="1" applyBorder="1" applyAlignment="1">
      <alignment horizontal="center" vertical="center"/>
      <protection/>
    </xf>
    <xf numFmtId="49" fontId="4" fillId="0" borderId="12" xfId="51" applyNumberFormat="1" applyFont="1" applyFill="1" applyBorder="1" applyAlignment="1">
      <alignment horizontal="center" vertical="center"/>
      <protection/>
    </xf>
    <xf numFmtId="0" fontId="4" fillId="0" borderId="13" xfId="51" applyFont="1" applyFill="1" applyBorder="1" applyAlignment="1">
      <alignment horizontal="center" vertical="center"/>
      <protection/>
    </xf>
    <xf numFmtId="4" fontId="4" fillId="0" borderId="56" xfId="51" applyNumberFormat="1" applyFont="1" applyFill="1" applyBorder="1" applyAlignment="1">
      <alignment vertical="center"/>
      <protection/>
    </xf>
    <xf numFmtId="4" fontId="4" fillId="0" borderId="10" xfId="51" applyNumberFormat="1" applyFont="1" applyFill="1" applyBorder="1" applyAlignment="1">
      <alignment vertical="center"/>
      <protection/>
    </xf>
    <xf numFmtId="4" fontId="4" fillId="0" borderId="11" xfId="51" applyNumberFormat="1" applyFont="1" applyFill="1" applyBorder="1" applyAlignment="1">
      <alignment vertical="center"/>
      <protection/>
    </xf>
    <xf numFmtId="4" fontId="4" fillId="0" borderId="62" xfId="51" applyNumberFormat="1" applyFont="1" applyFill="1" applyBorder="1" applyAlignment="1">
      <alignment vertical="center"/>
      <protection/>
    </xf>
    <xf numFmtId="4" fontId="4" fillId="24" borderId="10" xfId="51" applyNumberFormat="1" applyFont="1" applyFill="1" applyBorder="1" applyAlignment="1">
      <alignment vertical="center"/>
      <protection/>
    </xf>
    <xf numFmtId="4" fontId="4" fillId="24" borderId="11" xfId="51" applyNumberFormat="1" applyFont="1" applyFill="1" applyBorder="1" applyAlignment="1">
      <alignment vertical="center"/>
      <protection/>
    </xf>
    <xf numFmtId="4" fontId="4" fillId="24" borderId="62" xfId="51" applyNumberFormat="1" applyFont="1" applyFill="1" applyBorder="1" applyAlignment="1">
      <alignment vertical="center"/>
      <protection/>
    </xf>
    <xf numFmtId="49" fontId="1" fillId="0" borderId="63" xfId="51" applyNumberFormat="1" applyFont="1" applyFill="1" applyBorder="1" applyAlignment="1">
      <alignment horizontal="center" vertical="center"/>
      <protection/>
    </xf>
    <xf numFmtId="0" fontId="1" fillId="0" borderId="15" xfId="51" applyFont="1" applyFill="1" applyBorder="1" applyAlignment="1">
      <alignment horizontal="center" vertical="center"/>
      <protection/>
    </xf>
    <xf numFmtId="0" fontId="0" fillId="0" borderId="27" xfId="51" applyFont="1" applyFill="1" applyBorder="1" applyAlignment="1">
      <alignment vertical="center"/>
      <protection/>
    </xf>
    <xf numFmtId="4" fontId="1" fillId="0" borderId="63" xfId="51" applyNumberFormat="1" applyFont="1" applyFill="1" applyBorder="1" applyAlignment="1">
      <alignment vertical="center"/>
      <protection/>
    </xf>
    <xf numFmtId="49" fontId="1" fillId="0" borderId="38" xfId="51" applyNumberFormat="1" applyFont="1" applyFill="1" applyBorder="1" applyAlignment="1">
      <alignment horizontal="center" vertical="center"/>
      <protection/>
    </xf>
    <xf numFmtId="0" fontId="0" fillId="0" borderId="34" xfId="51" applyFont="1" applyFill="1" applyBorder="1" applyAlignment="1">
      <alignment vertical="center"/>
      <protection/>
    </xf>
    <xf numFmtId="49" fontId="1" fillId="0" borderId="41" xfId="51" applyNumberFormat="1" applyFont="1" applyFill="1" applyBorder="1" applyAlignment="1">
      <alignment horizontal="center" vertical="center"/>
      <protection/>
    </xf>
    <xf numFmtId="0" fontId="1" fillId="0" borderId="33" xfId="51" applyFont="1" applyFill="1" applyBorder="1" applyAlignment="1">
      <alignment horizontal="center" vertical="center"/>
      <protection/>
    </xf>
    <xf numFmtId="0" fontId="1" fillId="0" borderId="33" xfId="51" applyFont="1" applyBorder="1" applyAlignment="1">
      <alignment horizontal="center" vertical="center"/>
      <protection/>
    </xf>
    <xf numFmtId="0" fontId="0" fillId="0" borderId="33" xfId="51" applyFont="1" applyFill="1" applyBorder="1" applyAlignment="1">
      <alignment vertical="center"/>
      <protection/>
    </xf>
    <xf numFmtId="171" fontId="4" fillId="0" borderId="64" xfId="51" applyNumberFormat="1" applyFont="1" applyFill="1" applyBorder="1" applyAlignment="1">
      <alignment vertical="center"/>
      <protection/>
    </xf>
    <xf numFmtId="4" fontId="1" fillId="0" borderId="29" xfId="51" applyNumberFormat="1" applyFont="1" applyFill="1" applyBorder="1" applyAlignment="1">
      <alignment vertical="center"/>
      <protection/>
    </xf>
    <xf numFmtId="0" fontId="1" fillId="0" borderId="39" xfId="51" applyFont="1" applyFill="1" applyBorder="1" applyAlignment="1">
      <alignment horizontal="center" vertical="center"/>
      <protection/>
    </xf>
    <xf numFmtId="0" fontId="0" fillId="0" borderId="39" xfId="51" applyFont="1" applyFill="1" applyBorder="1" applyAlignment="1">
      <alignment vertical="center"/>
      <protection/>
    </xf>
    <xf numFmtId="171" fontId="4" fillId="0" borderId="0" xfId="51" applyNumberFormat="1" applyFont="1" applyFill="1" applyBorder="1" applyAlignment="1">
      <alignment vertical="center"/>
      <protection/>
    </xf>
    <xf numFmtId="0" fontId="31" fillId="0" borderId="33" xfId="48" applyFont="1" applyFill="1" applyBorder="1" applyAlignment="1">
      <alignment vertical="center" wrapText="1"/>
      <protection/>
    </xf>
    <xf numFmtId="4" fontId="31" fillId="0" borderId="65" xfId="51" applyNumberFormat="1" applyFont="1" applyFill="1" applyBorder="1" applyAlignment="1">
      <alignment vertical="center" wrapText="1"/>
      <protection/>
    </xf>
    <xf numFmtId="49" fontId="1" fillId="0" borderId="49" xfId="51" applyNumberFormat="1" applyFont="1" applyFill="1" applyBorder="1" applyAlignment="1">
      <alignment horizontal="center" vertical="center"/>
      <protection/>
    </xf>
    <xf numFmtId="0" fontId="1" fillId="0" borderId="47" xfId="51" applyFont="1" applyFill="1" applyBorder="1" applyAlignment="1">
      <alignment horizontal="center" vertical="center"/>
      <protection/>
    </xf>
    <xf numFmtId="0" fontId="1" fillId="0" borderId="48" xfId="48" applyFont="1" applyFill="1" applyBorder="1" applyAlignment="1">
      <alignment vertical="center"/>
      <protection/>
    </xf>
    <xf numFmtId="4" fontId="1" fillId="0" borderId="66" xfId="51" applyNumberFormat="1" applyFont="1" applyFill="1" applyBorder="1" applyAlignment="1">
      <alignment vertical="center"/>
      <protection/>
    </xf>
    <xf numFmtId="0" fontId="1" fillId="0" borderId="30" xfId="51" applyFont="1" applyFill="1" applyBorder="1" applyAlignment="1">
      <alignment horizontal="center" vertical="center"/>
      <protection/>
    </xf>
    <xf numFmtId="49" fontId="1" fillId="0" borderId="33" xfId="51" applyNumberFormat="1" applyFont="1" applyFill="1" applyBorder="1" applyAlignment="1">
      <alignment horizontal="center" vertical="center"/>
      <protection/>
    </xf>
    <xf numFmtId="0" fontId="1" fillId="0" borderId="16" xfId="51" applyFont="1" applyFill="1" applyBorder="1" applyAlignment="1">
      <alignment vertical="center"/>
      <protection/>
    </xf>
    <xf numFmtId="4" fontId="1" fillId="0" borderId="64" xfId="51" applyNumberFormat="1" applyFont="1" applyFill="1" applyBorder="1" applyAlignment="1">
      <alignment vertical="center"/>
      <protection/>
    </xf>
    <xf numFmtId="4" fontId="1" fillId="0" borderId="55" xfId="51" applyNumberFormat="1" applyFont="1" applyFill="1" applyBorder="1" applyAlignment="1">
      <alignment vertical="center"/>
      <protection/>
    </xf>
    <xf numFmtId="171" fontId="1" fillId="0" borderId="55" xfId="51" applyNumberFormat="1" applyFont="1" applyFill="1" applyBorder="1" applyAlignment="1">
      <alignment vertical="center"/>
      <protection/>
    </xf>
    <xf numFmtId="0" fontId="1" fillId="0" borderId="59" xfId="51" applyFont="1" applyFill="1" applyBorder="1" applyAlignment="1">
      <alignment horizontal="center" vertical="center"/>
      <protection/>
    </xf>
    <xf numFmtId="49" fontId="1" fillId="0" borderId="67" xfId="51" applyNumberFormat="1" applyFont="1" applyFill="1" applyBorder="1" applyAlignment="1">
      <alignment horizontal="center" vertical="center"/>
      <protection/>
    </xf>
    <xf numFmtId="0" fontId="1" fillId="0" borderId="68" xfId="51" applyFont="1" applyFill="1" applyBorder="1" applyAlignment="1">
      <alignment vertical="center"/>
      <protection/>
    </xf>
    <xf numFmtId="4" fontId="1" fillId="0" borderId="0" xfId="51" applyNumberFormat="1" applyFont="1" applyFill="1" applyBorder="1" applyAlignment="1">
      <alignment vertical="center"/>
      <protection/>
    </xf>
    <xf numFmtId="4" fontId="1" fillId="0" borderId="38" xfId="51" applyNumberFormat="1" applyFont="1" applyFill="1" applyBorder="1" applyAlignment="1">
      <alignment vertical="center"/>
      <protection/>
    </xf>
    <xf numFmtId="49" fontId="1" fillId="0" borderId="10" xfId="51" applyNumberFormat="1" applyFont="1" applyFill="1" applyBorder="1" applyAlignment="1">
      <alignment horizontal="center" vertical="center"/>
      <protection/>
    </xf>
    <xf numFmtId="0" fontId="1" fillId="0" borderId="24" xfId="49" applyFont="1" applyFill="1" applyBorder="1" applyAlignment="1">
      <alignment horizontal="center" vertical="center"/>
      <protection/>
    </xf>
    <xf numFmtId="171" fontId="4" fillId="24" borderId="11" xfId="51" applyNumberFormat="1" applyFont="1" applyFill="1" applyBorder="1" applyAlignment="1">
      <alignment vertical="center"/>
      <protection/>
    </xf>
    <xf numFmtId="171" fontId="31" fillId="0" borderId="65" xfId="51" applyNumberFormat="1" applyFont="1" applyFill="1" applyBorder="1" applyAlignment="1">
      <alignment vertical="center" wrapText="1"/>
      <protection/>
    </xf>
    <xf numFmtId="171" fontId="1" fillId="0" borderId="66" xfId="51" applyNumberFormat="1" applyFont="1" applyFill="1" applyBorder="1" applyAlignment="1">
      <alignment vertical="center"/>
      <protection/>
    </xf>
    <xf numFmtId="171" fontId="4" fillId="0" borderId="11" xfId="51" applyNumberFormat="1" applyFont="1" applyFill="1" applyBorder="1" applyAlignment="1">
      <alignment vertical="center"/>
      <protection/>
    </xf>
    <xf numFmtId="0" fontId="7" fillId="0" borderId="26" xfId="0" applyFont="1" applyBorder="1" applyAlignment="1">
      <alignment vertical="center" wrapText="1"/>
    </xf>
    <xf numFmtId="171" fontId="7" fillId="0" borderId="30" xfId="0" applyNumberFormat="1" applyFont="1" applyBorder="1" applyAlignment="1">
      <alignment horizontal="right" vertical="center" wrapText="1"/>
    </xf>
    <xf numFmtId="171" fontId="8" fillId="0" borderId="19" xfId="0" applyNumberFormat="1" applyFont="1" applyFill="1" applyBorder="1" applyAlignment="1">
      <alignment horizontal="right" vertical="center" wrapText="1"/>
    </xf>
    <xf numFmtId="0" fontId="7" fillId="0" borderId="22" xfId="0" applyFont="1" applyBorder="1" applyAlignment="1">
      <alignment vertical="center" wrapText="1"/>
    </xf>
    <xf numFmtId="171" fontId="7" fillId="0" borderId="19" xfId="0" applyNumberFormat="1" applyFont="1" applyFill="1" applyBorder="1" applyAlignment="1">
      <alignment horizontal="right" vertical="center" wrapText="1"/>
    </xf>
    <xf numFmtId="171" fontId="8" fillId="0" borderId="19" xfId="0" applyNumberFormat="1" applyFont="1" applyBorder="1" applyAlignment="1">
      <alignment horizontal="right" vertical="center" wrapText="1"/>
    </xf>
    <xf numFmtId="171" fontId="8" fillId="0" borderId="19" xfId="0" applyNumberFormat="1" applyFont="1" applyFill="1" applyBorder="1" applyAlignment="1">
      <alignment horizontal="right" vertical="center" wrapText="1"/>
    </xf>
    <xf numFmtId="171" fontId="7" fillId="0" borderId="19" xfId="0" applyNumberFormat="1" applyFont="1" applyFill="1" applyBorder="1" applyAlignment="1">
      <alignment horizontal="right" vertical="center" wrapText="1"/>
    </xf>
    <xf numFmtId="171" fontId="8" fillId="0" borderId="27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8" fillId="0" borderId="69" xfId="0" applyFont="1" applyBorder="1" applyAlignment="1">
      <alignment vertical="center" wrapText="1"/>
    </xf>
    <xf numFmtId="171" fontId="7" fillId="0" borderId="12" xfId="0" applyNumberFormat="1" applyFont="1" applyFill="1" applyBorder="1" applyAlignment="1">
      <alignment horizontal="right" vertical="center" wrapText="1"/>
    </xf>
    <xf numFmtId="171" fontId="8" fillId="0" borderId="27" xfId="0" applyNumberFormat="1" applyFont="1" applyBorder="1" applyAlignment="1">
      <alignment horizontal="right" vertical="center" wrapText="1"/>
    </xf>
    <xf numFmtId="171" fontId="7" fillId="0" borderId="24" xfId="0" applyNumberFormat="1" applyFont="1" applyBorder="1" applyAlignment="1">
      <alignment horizontal="right" vertical="center" wrapText="1"/>
    </xf>
    <xf numFmtId="0" fontId="30" fillId="0" borderId="0" xfId="52" applyFont="1" applyAlignment="1">
      <alignment vertical="center"/>
      <protection/>
    </xf>
    <xf numFmtId="49" fontId="35" fillId="0" borderId="0" xfId="49" applyNumberFormat="1" applyFont="1" applyBorder="1" applyAlignment="1">
      <alignment vertical="center" textRotation="90"/>
      <protection/>
    </xf>
    <xf numFmtId="0" fontId="1" fillId="0" borderId="0" xfId="52" applyFont="1" applyFill="1" applyBorder="1" applyAlignment="1">
      <alignment horizontal="center" vertical="center"/>
      <protection/>
    </xf>
    <xf numFmtId="49" fontId="1" fillId="0" borderId="0" xfId="52" applyNumberFormat="1" applyFont="1" applyFill="1" applyBorder="1" applyAlignment="1">
      <alignment horizontal="center" vertical="center"/>
      <protection/>
    </xf>
    <xf numFmtId="0" fontId="1" fillId="0" borderId="0" xfId="52" applyFont="1" applyFill="1" applyBorder="1" applyAlignment="1">
      <alignment horizontal="left" vertical="center"/>
      <protection/>
    </xf>
    <xf numFmtId="4" fontId="1" fillId="0" borderId="0" xfId="52" applyNumberFormat="1" applyFont="1" applyFill="1" applyBorder="1" applyAlignment="1">
      <alignment vertical="center"/>
      <protection/>
    </xf>
    <xf numFmtId="0" fontId="5" fillId="0" borderId="0" xfId="52" applyFont="1" applyBorder="1" applyAlignment="1">
      <alignment vertical="center"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vertical="center"/>
      <protection/>
    </xf>
    <xf numFmtId="0" fontId="0" fillId="0" borderId="0" xfId="52" applyAlignment="1">
      <alignment vertical="center"/>
      <protection/>
    </xf>
    <xf numFmtId="0" fontId="4" fillId="0" borderId="32" xfId="50" applyFont="1" applyBorder="1" applyAlignment="1">
      <alignment horizontal="center" vertical="center"/>
      <protection/>
    </xf>
    <xf numFmtId="0" fontId="4" fillId="0" borderId="11" xfId="50" applyFont="1" applyBorder="1" applyAlignment="1">
      <alignment horizontal="center" vertical="center"/>
      <protection/>
    </xf>
    <xf numFmtId="2" fontId="4" fillId="0" borderId="51" xfId="50" applyNumberFormat="1" applyFont="1" applyBorder="1" applyAlignment="1">
      <alignment horizontal="center" vertical="center"/>
      <protection/>
    </xf>
    <xf numFmtId="2" fontId="4" fillId="0" borderId="24" xfId="50" applyNumberFormat="1" applyFont="1" applyBorder="1" applyAlignment="1">
      <alignment horizontal="center" vertical="center"/>
      <protection/>
    </xf>
    <xf numFmtId="0" fontId="4" fillId="0" borderId="12" xfId="53" applyFont="1" applyFill="1" applyBorder="1" applyAlignment="1">
      <alignment horizontal="left" vertical="center"/>
      <protection/>
    </xf>
    <xf numFmtId="4" fontId="4" fillId="0" borderId="11" xfId="51" applyNumberFormat="1" applyFont="1" applyBorder="1" applyAlignment="1">
      <alignment vertical="center"/>
      <protection/>
    </xf>
    <xf numFmtId="49" fontId="4" fillId="0" borderId="30" xfId="51" applyNumberFormat="1" applyFont="1" applyBorder="1" applyAlignment="1" quotePrefix="1">
      <alignment horizontal="center" vertical="center"/>
      <protection/>
    </xf>
    <xf numFmtId="0" fontId="4" fillId="0" borderId="30" xfId="51" applyFont="1" applyBorder="1" applyAlignment="1">
      <alignment horizontal="center" vertical="center"/>
      <protection/>
    </xf>
    <xf numFmtId="0" fontId="4" fillId="0" borderId="16" xfId="51" applyFont="1" applyBorder="1" applyAlignment="1">
      <alignment vertical="center"/>
      <protection/>
    </xf>
    <xf numFmtId="2" fontId="0" fillId="0" borderId="0" xfId="50" applyNumberFormat="1" applyAlignment="1">
      <alignment vertical="center"/>
      <protection/>
    </xf>
    <xf numFmtId="49" fontId="5" fillId="0" borderId="34" xfId="51" applyNumberFormat="1" applyFont="1" applyFill="1" applyBorder="1" applyAlignment="1">
      <alignment horizontal="center" vertical="center"/>
      <protection/>
    </xf>
    <xf numFmtId="4" fontId="36" fillId="28" borderId="35" xfId="51" applyNumberFormat="1" applyFont="1" applyFill="1" applyBorder="1" applyAlignment="1">
      <alignment vertical="center"/>
      <protection/>
    </xf>
    <xf numFmtId="0" fontId="4" fillId="0" borderId="30" xfId="51" applyFont="1" applyFill="1" applyBorder="1" applyAlignment="1">
      <alignment horizontal="center" vertical="center"/>
      <protection/>
    </xf>
    <xf numFmtId="49" fontId="41" fillId="0" borderId="48" xfId="51" applyNumberFormat="1" applyFont="1" applyFill="1" applyBorder="1" applyAlignment="1">
      <alignment horizontal="center" vertical="center"/>
      <protection/>
    </xf>
    <xf numFmtId="0" fontId="4" fillId="0" borderId="16" xfId="51" applyFont="1" applyFill="1" applyBorder="1" applyAlignment="1">
      <alignment vertical="center" wrapText="1"/>
      <protection/>
    </xf>
    <xf numFmtId="0" fontId="4" fillId="0" borderId="16" xfId="51" applyFont="1" applyBorder="1" applyAlignment="1">
      <alignment vertical="center" wrapText="1"/>
      <protection/>
    </xf>
    <xf numFmtId="0" fontId="4" fillId="0" borderId="27" xfId="53" applyFont="1" applyFill="1" applyBorder="1" applyAlignment="1">
      <alignment horizontal="center" vertical="center"/>
      <protection/>
    </xf>
    <xf numFmtId="0" fontId="4" fillId="0" borderId="15" xfId="53" applyFont="1" applyFill="1" applyBorder="1" applyAlignment="1">
      <alignment horizontal="center" vertical="center"/>
      <protection/>
    </xf>
    <xf numFmtId="0" fontId="4" fillId="0" borderId="15" xfId="53" applyFont="1" applyFill="1" applyBorder="1" applyAlignment="1">
      <alignment vertical="center" wrapText="1"/>
      <protection/>
    </xf>
    <xf numFmtId="49" fontId="5" fillId="0" borderId="19" xfId="51" applyNumberFormat="1" applyFont="1" applyFill="1" applyBorder="1" applyAlignment="1">
      <alignment horizontal="center" vertical="center"/>
      <protection/>
    </xf>
    <xf numFmtId="0" fontId="1" fillId="0" borderId="59" xfId="53" applyFont="1" applyFill="1" applyBorder="1" applyAlignment="1">
      <alignment horizontal="center" vertical="center"/>
      <protection/>
    </xf>
    <xf numFmtId="0" fontId="1" fillId="0" borderId="18" xfId="51" applyFont="1" applyBorder="1" applyAlignment="1">
      <alignment vertical="center" wrapText="1"/>
      <protection/>
    </xf>
    <xf numFmtId="4" fontId="1" fillId="0" borderId="17" xfId="53" applyNumberFormat="1" applyFont="1" applyFill="1" applyBorder="1" applyAlignment="1">
      <alignment vertical="center"/>
      <protection/>
    </xf>
    <xf numFmtId="0" fontId="1" fillId="0" borderId="31" xfId="53" applyFont="1" applyFill="1" applyBorder="1" applyAlignment="1">
      <alignment horizontal="center" vertical="center"/>
      <protection/>
    </xf>
    <xf numFmtId="0" fontId="1" fillId="0" borderId="39" xfId="51" applyFont="1" applyBorder="1" applyAlignment="1">
      <alignment vertical="center" wrapText="1"/>
      <protection/>
    </xf>
    <xf numFmtId="4" fontId="1" fillId="0" borderId="35" xfId="53" applyNumberFormat="1" applyFont="1" applyFill="1" applyBorder="1" applyAlignment="1">
      <alignment vertical="center"/>
      <protection/>
    </xf>
    <xf numFmtId="4" fontId="4" fillId="0" borderId="14" xfId="53" applyNumberFormat="1" applyFont="1" applyFill="1" applyBorder="1" applyAlignment="1">
      <alignment vertical="center"/>
      <protection/>
    </xf>
    <xf numFmtId="0" fontId="1" fillId="0" borderId="48" xfId="51" applyFont="1" applyBorder="1" applyAlignment="1">
      <alignment vertical="center" wrapText="1"/>
      <protection/>
    </xf>
    <xf numFmtId="4" fontId="1" fillId="0" borderId="43" xfId="53" applyNumberFormat="1" applyFont="1" applyFill="1" applyBorder="1" applyAlignment="1">
      <alignment vertical="center"/>
      <protection/>
    </xf>
    <xf numFmtId="2" fontId="4" fillId="0" borderId="67" xfId="51" applyNumberFormat="1" applyFont="1" applyBorder="1" applyAlignment="1">
      <alignment horizontal="center" vertical="center"/>
      <protection/>
    </xf>
    <xf numFmtId="2" fontId="4" fillId="0" borderId="34" xfId="50" applyNumberFormat="1" applyFont="1" applyBorder="1" applyAlignment="1">
      <alignment horizontal="center" vertical="center"/>
      <protection/>
    </xf>
    <xf numFmtId="1" fontId="1" fillId="0" borderId="34" xfId="50" applyNumberFormat="1" applyFont="1" applyFill="1" applyBorder="1" applyAlignment="1">
      <alignment horizontal="center" vertical="center"/>
      <protection/>
    </xf>
    <xf numFmtId="0" fontId="0" fillId="0" borderId="70" xfId="0" applyBorder="1" applyAlignment="1">
      <alignment vertical="center"/>
    </xf>
    <xf numFmtId="4" fontId="1" fillId="0" borderId="60" xfId="50" applyNumberFormat="1" applyFont="1" applyFill="1" applyBorder="1" applyAlignment="1">
      <alignment vertical="center"/>
      <protection/>
    </xf>
    <xf numFmtId="0" fontId="4" fillId="0" borderId="42" xfId="51" applyFont="1" applyBorder="1" applyAlignment="1">
      <alignment horizontal="center" vertical="center"/>
      <protection/>
    </xf>
    <xf numFmtId="0" fontId="33" fillId="0" borderId="52" xfId="51" applyFont="1" applyFill="1" applyBorder="1" applyAlignment="1">
      <alignment horizontal="center" vertical="center"/>
      <protection/>
    </xf>
    <xf numFmtId="0" fontId="33" fillId="0" borderId="50" xfId="51" applyFont="1" applyFill="1" applyBorder="1" applyAlignment="1">
      <alignment horizontal="center" vertical="center"/>
      <protection/>
    </xf>
    <xf numFmtId="49" fontId="40" fillId="0" borderId="55" xfId="51" applyNumberFormat="1" applyFont="1" applyFill="1" applyBorder="1" applyAlignment="1">
      <alignment horizontal="center" vertical="center"/>
      <protection/>
    </xf>
    <xf numFmtId="49" fontId="40" fillId="0" borderId="33" xfId="51" applyNumberFormat="1" applyFont="1" applyBorder="1" applyAlignment="1">
      <alignment horizontal="center" vertical="center" wrapText="1"/>
      <protection/>
    </xf>
    <xf numFmtId="49" fontId="40" fillId="0" borderId="30" xfId="49" applyNumberFormat="1" applyFont="1" applyFill="1" applyBorder="1" applyAlignment="1">
      <alignment horizontal="center" vertical="center" wrapText="1"/>
      <protection/>
    </xf>
    <xf numFmtId="0" fontId="40" fillId="0" borderId="30" xfId="51" applyFont="1" applyFill="1" applyBorder="1" applyAlignment="1">
      <alignment horizontal="center" vertical="center" wrapText="1"/>
      <protection/>
    </xf>
    <xf numFmtId="2" fontId="42" fillId="0" borderId="16" xfId="55" applyNumberFormat="1" applyFont="1" applyFill="1" applyBorder="1" applyAlignment="1">
      <alignment horizontal="left" vertical="center" wrapText="1"/>
      <protection/>
    </xf>
    <xf numFmtId="4" fontId="40" fillId="0" borderId="29" xfId="49" applyNumberFormat="1" applyFont="1" applyFill="1" applyBorder="1" applyAlignment="1">
      <alignment vertical="center" wrapText="1"/>
      <protection/>
    </xf>
    <xf numFmtId="4" fontId="40" fillId="0" borderId="65" xfId="49" applyNumberFormat="1" applyFont="1" applyFill="1" applyBorder="1" applyAlignment="1">
      <alignment vertical="center" wrapText="1"/>
      <protection/>
    </xf>
    <xf numFmtId="0" fontId="31" fillId="0" borderId="49" xfId="49" applyFont="1" applyFill="1" applyBorder="1" applyAlignment="1">
      <alignment horizontal="center" vertical="center" wrapText="1"/>
      <protection/>
    </xf>
    <xf numFmtId="49" fontId="31" fillId="0" borderId="31" xfId="49" applyNumberFormat="1" applyFont="1" applyFill="1" applyBorder="1" applyAlignment="1">
      <alignment horizontal="center" vertical="center" wrapText="1"/>
      <protection/>
    </xf>
    <xf numFmtId="49" fontId="31" fillId="0" borderId="47" xfId="49" applyNumberFormat="1" applyFont="1" applyFill="1" applyBorder="1" applyAlignment="1">
      <alignment horizontal="center" vertical="center" wrapText="1"/>
      <protection/>
    </xf>
    <xf numFmtId="49" fontId="4" fillId="0" borderId="55" xfId="51" applyNumberFormat="1" applyFont="1" applyFill="1" applyBorder="1" applyAlignment="1">
      <alignment horizontal="center" vertical="center"/>
      <protection/>
    </xf>
    <xf numFmtId="0" fontId="4" fillId="0" borderId="30" xfId="51" applyFont="1" applyFill="1" applyBorder="1" applyAlignment="1">
      <alignment horizontal="center" vertical="center" wrapText="1"/>
      <protection/>
    </xf>
    <xf numFmtId="4" fontId="1" fillId="0" borderId="71" xfId="51" applyNumberFormat="1" applyFont="1" applyFill="1" applyBorder="1" applyAlignment="1">
      <alignment vertical="center"/>
      <protection/>
    </xf>
    <xf numFmtId="171" fontId="1" fillId="0" borderId="63" xfId="51" applyNumberFormat="1" applyFont="1" applyFill="1" applyBorder="1" applyAlignment="1">
      <alignment vertical="center"/>
      <protection/>
    </xf>
    <xf numFmtId="171" fontId="4" fillId="0" borderId="38" xfId="51" applyNumberFormat="1" applyFont="1" applyFill="1" applyBorder="1" applyAlignment="1">
      <alignment vertical="center"/>
      <protection/>
    </xf>
    <xf numFmtId="171" fontId="4" fillId="0" borderId="55" xfId="51" applyNumberFormat="1" applyFont="1" applyFill="1" applyBorder="1" applyAlignment="1">
      <alignment vertical="center" wrapText="1"/>
      <protection/>
    </xf>
    <xf numFmtId="171" fontId="1" fillId="0" borderId="71" xfId="51" applyNumberFormat="1" applyFont="1" applyFill="1" applyBorder="1" applyAlignment="1">
      <alignment vertical="center"/>
      <protection/>
    </xf>
    <xf numFmtId="171" fontId="40" fillId="0" borderId="29" xfId="49" applyNumberFormat="1" applyFont="1" applyFill="1" applyBorder="1" applyAlignment="1">
      <alignment vertical="center" wrapText="1"/>
      <protection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4" fillId="0" borderId="44" xfId="51" applyNumberFormat="1" applyFont="1" applyFill="1" applyBorder="1" applyAlignment="1">
      <alignment horizontal="center" vertical="center"/>
      <protection/>
    </xf>
    <xf numFmtId="49" fontId="4" fillId="0" borderId="32" xfId="51" applyNumberFormat="1" applyFont="1" applyFill="1" applyBorder="1" applyAlignment="1">
      <alignment horizontal="center" vertical="center"/>
      <protection/>
    </xf>
    <xf numFmtId="0" fontId="4" fillId="0" borderId="45" xfId="51" applyFont="1" applyFill="1" applyBorder="1" applyAlignment="1">
      <alignment horizontal="center" vertical="center"/>
      <protection/>
    </xf>
    <xf numFmtId="0" fontId="4" fillId="0" borderId="34" xfId="51" applyFont="1" applyFill="1" applyBorder="1" applyAlignment="1">
      <alignment horizontal="center" vertical="center"/>
      <protection/>
    </xf>
    <xf numFmtId="0" fontId="30" fillId="0" borderId="0" xfId="51" applyFont="1" applyFill="1" applyAlignment="1">
      <alignment horizontal="center" vertical="center"/>
      <protection/>
    </xf>
    <xf numFmtId="0" fontId="0" fillId="0" borderId="34" xfId="0" applyFont="1" applyFill="1" applyBorder="1" applyAlignment="1">
      <alignment horizontal="center" vertical="center"/>
    </xf>
    <xf numFmtId="0" fontId="4" fillId="0" borderId="72" xfId="51" applyFont="1" applyFill="1" applyBorder="1" applyAlignment="1">
      <alignment horizontal="center" vertical="center"/>
      <protection/>
    </xf>
    <xf numFmtId="0" fontId="4" fillId="0" borderId="66" xfId="51" applyFont="1" applyFill="1" applyBorder="1" applyAlignment="1">
      <alignment horizontal="center" vertical="center"/>
      <protection/>
    </xf>
    <xf numFmtId="0" fontId="4" fillId="0" borderId="70" xfId="51" applyFont="1" applyFill="1" applyBorder="1" applyAlignment="1">
      <alignment horizontal="center"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0" fontId="4" fillId="0" borderId="73" xfId="51" applyFont="1" applyFill="1" applyBorder="1" applyAlignment="1">
      <alignment horizontal="center" vertical="center"/>
      <protection/>
    </xf>
    <xf numFmtId="0" fontId="4" fillId="0" borderId="35" xfId="5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0" fillId="0" borderId="0" xfId="51" applyFont="1" applyFill="1" applyAlignment="1">
      <alignment horizontal="center" vertical="center"/>
      <protection/>
    </xf>
    <xf numFmtId="0" fontId="4" fillId="0" borderId="45" xfId="50" applyFont="1" applyBorder="1" applyAlignment="1">
      <alignment horizontal="center" vertical="center"/>
      <protection/>
    </xf>
    <xf numFmtId="0" fontId="4" fillId="0" borderId="59" xfId="50" applyFont="1" applyBorder="1" applyAlignment="1">
      <alignment horizontal="center" vertical="center"/>
      <protection/>
    </xf>
    <xf numFmtId="2" fontId="4" fillId="0" borderId="46" xfId="50" applyNumberFormat="1" applyFont="1" applyBorder="1" applyAlignment="1">
      <alignment horizontal="center" vertical="center"/>
      <protection/>
    </xf>
    <xf numFmtId="2" fontId="4" fillId="0" borderId="67" xfId="50" applyNumberFormat="1" applyFont="1" applyBorder="1" applyAlignment="1">
      <alignment horizontal="center" vertical="center"/>
      <protection/>
    </xf>
    <xf numFmtId="0" fontId="4" fillId="0" borderId="44" xfId="50" applyFont="1" applyBorder="1" applyAlignment="1">
      <alignment horizontal="center" vertical="center"/>
      <protection/>
    </xf>
    <xf numFmtId="0" fontId="4" fillId="0" borderId="38" xfId="50" applyFont="1" applyBorder="1" applyAlignment="1">
      <alignment horizontal="center" vertical="center"/>
      <protection/>
    </xf>
    <xf numFmtId="0" fontId="4" fillId="0" borderId="73" xfId="50" applyFont="1" applyFill="1" applyBorder="1" applyAlignment="1">
      <alignment horizontal="center" vertical="center"/>
      <protection/>
    </xf>
    <xf numFmtId="0" fontId="4" fillId="0" borderId="35" xfId="50" applyFont="1" applyFill="1" applyBorder="1" applyAlignment="1">
      <alignment horizontal="center" vertical="center"/>
      <protection/>
    </xf>
    <xf numFmtId="0" fontId="4" fillId="0" borderId="10" xfId="50" applyFont="1" applyFill="1" applyBorder="1" applyAlignment="1">
      <alignment horizontal="center" vertical="center"/>
      <protection/>
    </xf>
    <xf numFmtId="0" fontId="4" fillId="0" borderId="62" xfId="50" applyFont="1" applyFill="1" applyBorder="1" applyAlignment="1">
      <alignment horizontal="center" vertical="center"/>
      <protection/>
    </xf>
    <xf numFmtId="0" fontId="1" fillId="0" borderId="73" xfId="52" applyFont="1" applyBorder="1" applyAlignment="1">
      <alignment horizontal="center" vertical="center" textRotation="90" wrapText="1"/>
      <protection/>
    </xf>
    <xf numFmtId="0" fontId="1" fillId="0" borderId="60" xfId="52" applyFont="1" applyBorder="1" applyAlignment="1">
      <alignment horizontal="center" vertical="center" textRotation="90" wrapText="1"/>
      <protection/>
    </xf>
    <xf numFmtId="0" fontId="1" fillId="0" borderId="35" xfId="52" applyFont="1" applyBorder="1" applyAlignment="1">
      <alignment horizontal="center" vertical="center" textRotation="90" wrapText="1"/>
      <protection/>
    </xf>
    <xf numFmtId="0" fontId="30" fillId="0" borderId="0" xfId="0" applyFont="1" applyFill="1" applyAlignment="1">
      <alignment horizontal="center" vertical="center"/>
    </xf>
    <xf numFmtId="0" fontId="34" fillId="0" borderId="0" xfId="49" applyFont="1" applyAlignment="1">
      <alignment horizontal="center" vertical="center"/>
      <protection/>
    </xf>
    <xf numFmtId="0" fontId="28" fillId="0" borderId="0" xfId="0" applyFont="1" applyAlignment="1">
      <alignment horizontal="center" vertical="center"/>
    </xf>
    <xf numFmtId="49" fontId="4" fillId="0" borderId="74" xfId="50" applyNumberFormat="1" applyFont="1" applyBorder="1" applyAlignment="1">
      <alignment horizontal="center" vertical="center"/>
      <protection/>
    </xf>
    <xf numFmtId="49" fontId="4" fillId="0" borderId="75" xfId="50" applyNumberFormat="1" applyFont="1" applyBorder="1" applyAlignment="1">
      <alignment horizontal="center" vertical="center"/>
      <protection/>
    </xf>
    <xf numFmtId="0" fontId="4" fillId="0" borderId="74" xfId="50" applyFont="1" applyBorder="1" applyAlignment="1">
      <alignment horizontal="center" vertical="center"/>
      <protection/>
    </xf>
    <xf numFmtId="0" fontId="4" fillId="0" borderId="76" xfId="50" applyFont="1" applyBorder="1" applyAlignment="1">
      <alignment horizontal="center" vertical="center"/>
      <protection/>
    </xf>
    <xf numFmtId="0" fontId="4" fillId="0" borderId="70" xfId="52" applyFont="1" applyBorder="1" applyAlignment="1">
      <alignment horizontal="center" vertical="center"/>
      <protection/>
    </xf>
    <xf numFmtId="0" fontId="4" fillId="0" borderId="40" xfId="52" applyFont="1" applyBorder="1" applyAlignment="1">
      <alignment horizontal="center" vertical="center"/>
      <protection/>
    </xf>
    <xf numFmtId="0" fontId="1" fillId="0" borderId="73" xfId="50" applyFont="1" applyBorder="1" applyAlignment="1">
      <alignment horizontal="center" vertical="center" textRotation="90" wrapText="1"/>
      <protection/>
    </xf>
    <xf numFmtId="0" fontId="1" fillId="0" borderId="60" xfId="50" applyFont="1" applyBorder="1" applyAlignment="1">
      <alignment horizontal="center" vertical="center" textRotation="90" wrapText="1"/>
      <protection/>
    </xf>
    <xf numFmtId="0" fontId="1" fillId="0" borderId="35" xfId="50" applyFont="1" applyBorder="1" applyAlignment="1">
      <alignment horizontal="center" vertical="center" textRotation="90" wrapText="1"/>
      <protection/>
    </xf>
    <xf numFmtId="0" fontId="28" fillId="0" borderId="0" xfId="0" applyFont="1" applyAlignment="1">
      <alignment horizontal="center" vertical="center"/>
    </xf>
    <xf numFmtId="2" fontId="4" fillId="0" borderId="74" xfId="50" applyNumberFormat="1" applyFont="1" applyBorder="1" applyAlignment="1">
      <alignment horizontal="center" vertical="center"/>
      <protection/>
    </xf>
    <xf numFmtId="2" fontId="4" fillId="0" borderId="76" xfId="50" applyNumberFormat="1" applyFont="1" applyBorder="1" applyAlignment="1">
      <alignment horizontal="center" vertical="center"/>
      <protection/>
    </xf>
    <xf numFmtId="2" fontId="4" fillId="0" borderId="75" xfId="50" applyNumberFormat="1" applyFont="1" applyBorder="1" applyAlignment="1">
      <alignment horizontal="center" vertical="center"/>
      <protection/>
    </xf>
    <xf numFmtId="2" fontId="4" fillId="0" borderId="45" xfId="50" applyNumberFormat="1" applyFont="1" applyBorder="1" applyAlignment="1">
      <alignment horizontal="center" vertical="center"/>
      <protection/>
    </xf>
    <xf numFmtId="2" fontId="4" fillId="0" borderId="34" xfId="50" applyNumberFormat="1" applyFont="1" applyBorder="1" applyAlignment="1">
      <alignment horizontal="center" vertical="center"/>
      <protection/>
    </xf>
    <xf numFmtId="2" fontId="4" fillId="0" borderId="46" xfId="50" applyNumberFormat="1" applyFont="1" applyBorder="1" applyAlignment="1">
      <alignment horizontal="center" vertical="center"/>
      <protection/>
    </xf>
    <xf numFmtId="2" fontId="4" fillId="0" borderId="39" xfId="50" applyNumberFormat="1" applyFont="1" applyBorder="1" applyAlignment="1">
      <alignment horizontal="center" vertical="center"/>
      <protection/>
    </xf>
    <xf numFmtId="0" fontId="4" fillId="0" borderId="73" xfId="52" applyFont="1" applyBorder="1" applyAlignment="1">
      <alignment horizontal="center" vertical="center"/>
      <protection/>
    </xf>
    <xf numFmtId="0" fontId="4" fillId="0" borderId="35" xfId="52" applyFont="1" applyBorder="1" applyAlignment="1">
      <alignment horizontal="center" vertical="center"/>
      <protection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čtení rozpočtu 2006 - příjmy" xfId="48"/>
    <cellStyle name="normální_2. Rozpočet 2007 - tabulky" xfId="49"/>
    <cellStyle name="normální_Rozpis výdajů 03 bez PO 2" xfId="50"/>
    <cellStyle name="normální_Rozpis výdajů 03 bez PO 2 2" xfId="51"/>
    <cellStyle name="normální_Rozpis výdajů 03 bez PO 3" xfId="52"/>
    <cellStyle name="normální_Rozpis výdajů 03 bez PO_04 - OSMTVS 2" xfId="53"/>
    <cellStyle name="normální_Rozpis výdajů 03 bez PO_UR 2008 1-168 tisk" xfId="54"/>
    <cellStyle name="normální_Rozpočet 2005 (ZK)" xfId="55"/>
    <cellStyle name="Followed Hyperlink" xfId="56"/>
    <cellStyle name="Poznámka" xfId="57"/>
    <cellStyle name="Percent" xfId="58"/>
    <cellStyle name="Propojená buňka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51"/>
  <sheetViews>
    <sheetView tabSelected="1" zoomScalePageLayoutView="0" workbookViewId="0" topLeftCell="A1">
      <selection activeCell="E60" sqref="E60"/>
    </sheetView>
  </sheetViews>
  <sheetFormatPr defaultColWidth="9.140625" defaultRowHeight="12.75"/>
  <cols>
    <col min="1" max="1" width="37.8515625" style="2" customWidth="1"/>
    <col min="2" max="2" width="7.421875" style="2" customWidth="1"/>
    <col min="3" max="4" width="12.8515625" style="2" customWidth="1"/>
    <col min="5" max="6" width="13.140625" style="2" bestFit="1" customWidth="1"/>
    <col min="7" max="16384" width="9.140625" style="2" customWidth="1"/>
  </cols>
  <sheetData>
    <row r="1" spans="1:6" ht="20.25">
      <c r="A1" s="325" t="s">
        <v>193</v>
      </c>
      <c r="B1" s="325"/>
      <c r="C1" s="325"/>
      <c r="D1" s="325"/>
      <c r="E1" s="325"/>
      <c r="F1" s="325"/>
    </row>
    <row r="2" ht="18" customHeight="1"/>
    <row r="3" spans="1:6" ht="16.5" customHeight="1">
      <c r="A3" s="326" t="s">
        <v>30</v>
      </c>
      <c r="B3" s="326"/>
      <c r="C3" s="326"/>
      <c r="D3" s="326"/>
      <c r="E3" s="326"/>
      <c r="F3" s="326"/>
    </row>
    <row r="4" ht="12.75" customHeight="1" thickBot="1"/>
    <row r="5" spans="1:6" ht="15" customHeight="1" thickBot="1">
      <c r="A5" s="3" t="s">
        <v>1</v>
      </c>
      <c r="B5" s="4" t="s">
        <v>2</v>
      </c>
      <c r="C5" s="5" t="s">
        <v>122</v>
      </c>
      <c r="D5" s="28" t="s">
        <v>123</v>
      </c>
      <c r="E5" s="5" t="s">
        <v>0</v>
      </c>
      <c r="F5" s="6" t="s">
        <v>124</v>
      </c>
    </row>
    <row r="6" spans="1:6" ht="15" customHeight="1">
      <c r="A6" s="245" t="s">
        <v>9</v>
      </c>
      <c r="B6" s="7" t="s">
        <v>23</v>
      </c>
      <c r="C6" s="8">
        <f>C7+C8+C9</f>
        <v>2734356.93</v>
      </c>
      <c r="D6" s="40">
        <f>D7+D8+D9</f>
        <v>2753161.52</v>
      </c>
      <c r="E6" s="246">
        <f>SUM(E7:E9)</f>
        <v>2700</v>
      </c>
      <c r="F6" s="9">
        <f>SUM(F7:F9)</f>
        <v>2755861.52</v>
      </c>
    </row>
    <row r="7" spans="1:6" ht="15" customHeight="1">
      <c r="A7" s="18" t="s">
        <v>194</v>
      </c>
      <c r="B7" s="10" t="s">
        <v>10</v>
      </c>
      <c r="C7" s="11">
        <v>2661000</v>
      </c>
      <c r="D7" s="12">
        <v>2669936.46</v>
      </c>
      <c r="E7" s="247">
        <f>'příjmy OD'!J8</f>
        <v>28.265</v>
      </c>
      <c r="F7" s="13">
        <f aca="true" t="shared" si="0" ref="F7:F25">D7+E7</f>
        <v>2669964.725</v>
      </c>
    </row>
    <row r="8" spans="1:6" ht="15" customHeight="1">
      <c r="A8" s="18" t="s">
        <v>195</v>
      </c>
      <c r="B8" s="10" t="s">
        <v>11</v>
      </c>
      <c r="C8" s="11">
        <f>68120+5236.93</f>
        <v>73356.93</v>
      </c>
      <c r="D8" s="12">
        <v>83225.06</v>
      </c>
      <c r="E8" s="247">
        <f>'příjmy OD'!J11</f>
        <v>2671.735</v>
      </c>
      <c r="F8" s="13">
        <f t="shared" si="0"/>
        <v>85896.795</v>
      </c>
    </row>
    <row r="9" spans="1:6" ht="15" customHeight="1">
      <c r="A9" s="18" t="s">
        <v>196</v>
      </c>
      <c r="B9" s="10" t="s">
        <v>12</v>
      </c>
      <c r="C9" s="11">
        <v>0</v>
      </c>
      <c r="D9" s="12">
        <v>0</v>
      </c>
      <c r="E9" s="247"/>
      <c r="F9" s="13">
        <f t="shared" si="0"/>
        <v>0</v>
      </c>
    </row>
    <row r="10" spans="1:6" ht="15" customHeight="1">
      <c r="A10" s="248" t="s">
        <v>197</v>
      </c>
      <c r="B10" s="10" t="s">
        <v>13</v>
      </c>
      <c r="C10" s="15">
        <f>C11+C17</f>
        <v>93723.76999999999</v>
      </c>
      <c r="D10" s="16">
        <f>D11+D17</f>
        <v>4558894.28</v>
      </c>
      <c r="E10" s="249">
        <f>E11+E17</f>
        <v>0</v>
      </c>
      <c r="F10" s="17">
        <f>F11+F17</f>
        <v>4558894.28</v>
      </c>
    </row>
    <row r="11" spans="1:6" ht="15" customHeight="1">
      <c r="A11" s="18" t="s">
        <v>198</v>
      </c>
      <c r="B11" s="10" t="s">
        <v>14</v>
      </c>
      <c r="C11" s="11">
        <f>SUM(C12:C16)</f>
        <v>93723.76999999999</v>
      </c>
      <c r="D11" s="12">
        <f>SUM(D12:D16)</f>
        <v>4554687.4</v>
      </c>
      <c r="E11" s="250">
        <f>SUM(E12:E16)</f>
        <v>0</v>
      </c>
      <c r="F11" s="13">
        <f>SUM(F12:F16)</f>
        <v>4554687.4</v>
      </c>
    </row>
    <row r="12" spans="1:6" ht="15" customHeight="1">
      <c r="A12" s="18" t="s">
        <v>199</v>
      </c>
      <c r="B12" s="10" t="s">
        <v>15</v>
      </c>
      <c r="C12" s="11">
        <v>67590.7</v>
      </c>
      <c r="D12" s="12">
        <v>67590.7</v>
      </c>
      <c r="E12" s="247"/>
      <c r="F12" s="13">
        <f t="shared" si="0"/>
        <v>67590.7</v>
      </c>
    </row>
    <row r="13" spans="1:6" ht="15" customHeight="1">
      <c r="A13" s="18" t="s">
        <v>200</v>
      </c>
      <c r="B13" s="10" t="s">
        <v>14</v>
      </c>
      <c r="C13" s="19">
        <v>0</v>
      </c>
      <c r="D13" s="12">
        <v>4460963.63</v>
      </c>
      <c r="E13" s="247"/>
      <c r="F13" s="13">
        <f>D13+E13</f>
        <v>4460963.63</v>
      </c>
    </row>
    <row r="14" spans="1:6" ht="15" customHeight="1">
      <c r="A14" s="18" t="s">
        <v>201</v>
      </c>
      <c r="B14" s="10" t="s">
        <v>34</v>
      </c>
      <c r="C14" s="19">
        <v>0</v>
      </c>
      <c r="D14" s="12">
        <v>0</v>
      </c>
      <c r="E14" s="247"/>
      <c r="F14" s="13">
        <f>D14+E14</f>
        <v>0</v>
      </c>
    </row>
    <row r="15" spans="1:6" ht="15" customHeight="1">
      <c r="A15" s="18" t="s">
        <v>202</v>
      </c>
      <c r="B15" s="10">
        <v>4121</v>
      </c>
      <c r="C15" s="19">
        <v>26133.07</v>
      </c>
      <c r="D15" s="12">
        <v>26133.07</v>
      </c>
      <c r="E15" s="247"/>
      <c r="F15" s="13">
        <f t="shared" si="0"/>
        <v>26133.07</v>
      </c>
    </row>
    <row r="16" spans="1:6" ht="15" customHeight="1">
      <c r="A16" s="18" t="s">
        <v>203</v>
      </c>
      <c r="B16" s="10">
        <v>4123</v>
      </c>
      <c r="C16" s="19">
        <v>0</v>
      </c>
      <c r="D16" s="12">
        <v>0</v>
      </c>
      <c r="E16" s="247"/>
      <c r="F16" s="13">
        <f t="shared" si="0"/>
        <v>0</v>
      </c>
    </row>
    <row r="17" spans="1:6" ht="15" customHeight="1">
      <c r="A17" s="18" t="s">
        <v>204</v>
      </c>
      <c r="B17" s="10" t="s">
        <v>16</v>
      </c>
      <c r="C17" s="19">
        <f>SUM(C18:C21)</f>
        <v>0</v>
      </c>
      <c r="D17" s="12">
        <f>SUM(D18:D21)</f>
        <v>4206.88</v>
      </c>
      <c r="E17" s="251">
        <f>SUM(E18:E21)</f>
        <v>0</v>
      </c>
      <c r="F17" s="13">
        <f>SUM(F18:F21)</f>
        <v>4206.88</v>
      </c>
    </row>
    <row r="18" spans="1:6" ht="15" customHeight="1">
      <c r="A18" s="18" t="s">
        <v>205</v>
      </c>
      <c r="B18" s="10" t="s">
        <v>16</v>
      </c>
      <c r="C18" s="19">
        <v>0</v>
      </c>
      <c r="D18" s="12">
        <v>0</v>
      </c>
      <c r="E18" s="247"/>
      <c r="F18" s="13">
        <f t="shared" si="0"/>
        <v>0</v>
      </c>
    </row>
    <row r="19" spans="1:6" ht="15" customHeight="1">
      <c r="A19" s="18" t="s">
        <v>206</v>
      </c>
      <c r="B19" s="10">
        <v>4221</v>
      </c>
      <c r="C19" s="19">
        <v>0</v>
      </c>
      <c r="D19" s="12">
        <v>4206.88</v>
      </c>
      <c r="E19" s="247"/>
      <c r="F19" s="13">
        <f>D19+E19</f>
        <v>4206.88</v>
      </c>
    </row>
    <row r="20" spans="1:6" ht="15" customHeight="1">
      <c r="A20" s="18" t="s">
        <v>207</v>
      </c>
      <c r="B20" s="10">
        <v>4223</v>
      </c>
      <c r="C20" s="19">
        <v>0</v>
      </c>
      <c r="D20" s="12">
        <v>0</v>
      </c>
      <c r="E20" s="247"/>
      <c r="F20" s="13">
        <f>D20+E20</f>
        <v>0</v>
      </c>
    </row>
    <row r="21" spans="1:6" ht="15" customHeight="1">
      <c r="A21" s="18" t="s">
        <v>208</v>
      </c>
      <c r="B21" s="10" t="s">
        <v>209</v>
      </c>
      <c r="C21" s="19">
        <v>0</v>
      </c>
      <c r="D21" s="12">
        <v>0</v>
      </c>
      <c r="E21" s="247"/>
      <c r="F21" s="13">
        <f>D21+E21</f>
        <v>0</v>
      </c>
    </row>
    <row r="22" spans="1:6" ht="15" customHeight="1">
      <c r="A22" s="14" t="s">
        <v>17</v>
      </c>
      <c r="B22" s="20" t="s">
        <v>24</v>
      </c>
      <c r="C22" s="15">
        <f>C6+C10</f>
        <v>2828080.7</v>
      </c>
      <c r="D22" s="16">
        <f>D6+D10</f>
        <v>7312055.800000001</v>
      </c>
      <c r="E22" s="249">
        <f>E6+E10</f>
        <v>2700</v>
      </c>
      <c r="F22" s="17">
        <f>F6+F10</f>
        <v>7314755.800000001</v>
      </c>
    </row>
    <row r="23" spans="1:6" ht="15" customHeight="1">
      <c r="A23" s="14" t="s">
        <v>18</v>
      </c>
      <c r="B23" s="20" t="s">
        <v>19</v>
      </c>
      <c r="C23" s="15">
        <f>SUM(C24:C27)</f>
        <v>-96875</v>
      </c>
      <c r="D23" s="16">
        <f>SUM(D24:D27)</f>
        <v>1742695.9900000002</v>
      </c>
      <c r="E23" s="249">
        <f>SUM(E24:E27)</f>
        <v>0</v>
      </c>
      <c r="F23" s="21">
        <f>SUM(F24:F27)</f>
        <v>1742695.9900000002</v>
      </c>
    </row>
    <row r="24" spans="1:6" ht="15" customHeight="1">
      <c r="A24" s="18" t="s">
        <v>210</v>
      </c>
      <c r="B24" s="10" t="s">
        <v>20</v>
      </c>
      <c r="C24" s="19">
        <v>0</v>
      </c>
      <c r="D24" s="12">
        <v>100564.53000000001</v>
      </c>
      <c r="E24" s="252"/>
      <c r="F24" s="13">
        <f t="shared" si="0"/>
        <v>100564.53000000001</v>
      </c>
    </row>
    <row r="25" spans="1:7" ht="15" customHeight="1">
      <c r="A25" s="18" t="s">
        <v>211</v>
      </c>
      <c r="B25" s="10" t="s">
        <v>20</v>
      </c>
      <c r="C25" s="19">
        <v>0</v>
      </c>
      <c r="D25" s="12">
        <v>1739006.4600000002</v>
      </c>
      <c r="E25" s="253"/>
      <c r="F25" s="13">
        <f t="shared" si="0"/>
        <v>1739006.4600000002</v>
      </c>
      <c r="G25" s="254"/>
    </row>
    <row r="26" spans="1:6" ht="15" customHeight="1">
      <c r="A26" s="18" t="s">
        <v>212</v>
      </c>
      <c r="B26" s="10" t="s">
        <v>32</v>
      </c>
      <c r="C26" s="19">
        <v>0</v>
      </c>
      <c r="D26" s="12">
        <v>0</v>
      </c>
      <c r="E26" s="247"/>
      <c r="F26" s="13">
        <f>D26+E26</f>
        <v>0</v>
      </c>
    </row>
    <row r="27" spans="1:6" ht="15" customHeight="1" thickBot="1">
      <c r="A27" s="255" t="s">
        <v>213</v>
      </c>
      <c r="B27" s="10">
        <v>-8124</v>
      </c>
      <c r="C27" s="19">
        <v>-96875</v>
      </c>
      <c r="D27" s="41">
        <v>-96875</v>
      </c>
      <c r="E27" s="247"/>
      <c r="F27" s="13">
        <f>D27+E27</f>
        <v>-96875</v>
      </c>
    </row>
    <row r="28" spans="1:6" ht="15" customHeight="1" thickBot="1">
      <c r="A28" s="22" t="s">
        <v>21</v>
      </c>
      <c r="B28" s="23"/>
      <c r="C28" s="24">
        <f>C23+C10+C6</f>
        <v>2731205.7</v>
      </c>
      <c r="D28" s="25">
        <f>D23+D10+D6</f>
        <v>9054751.790000001</v>
      </c>
      <c r="E28" s="256">
        <f>E6+E10+E23</f>
        <v>2700</v>
      </c>
      <c r="F28" s="26">
        <f>D28+E28</f>
        <v>9057451.790000001</v>
      </c>
    </row>
    <row r="30" ht="9.75">
      <c r="E30" s="35"/>
    </row>
    <row r="31" spans="1:6" ht="17.25">
      <c r="A31" s="326" t="s">
        <v>31</v>
      </c>
      <c r="B31" s="326"/>
      <c r="C31" s="326"/>
      <c r="D31" s="326"/>
      <c r="E31" s="326"/>
      <c r="F31" s="326"/>
    </row>
    <row r="32" spans="1:6" ht="12" customHeight="1" thickBot="1">
      <c r="A32" s="1"/>
      <c r="B32" s="1"/>
      <c r="C32" s="1"/>
      <c r="D32" s="1"/>
      <c r="E32" s="1"/>
      <c r="F32" s="1"/>
    </row>
    <row r="33" spans="1:6" ht="15" customHeight="1" thickBot="1">
      <c r="A33" s="27" t="s">
        <v>25</v>
      </c>
      <c r="B33" s="28" t="s">
        <v>2</v>
      </c>
      <c r="C33" s="5" t="s">
        <v>122</v>
      </c>
      <c r="D33" s="28" t="s">
        <v>123</v>
      </c>
      <c r="E33" s="5" t="s">
        <v>0</v>
      </c>
      <c r="F33" s="6" t="s">
        <v>124</v>
      </c>
    </row>
    <row r="34" spans="1:6" ht="15" customHeight="1">
      <c r="A34" s="29" t="s">
        <v>214</v>
      </c>
      <c r="B34" s="30" t="s">
        <v>26</v>
      </c>
      <c r="C34" s="31">
        <v>29496.96</v>
      </c>
      <c r="D34" s="31">
        <v>29496.96</v>
      </c>
      <c r="E34" s="31"/>
      <c r="F34" s="32">
        <f>D34+E34</f>
        <v>29496.96</v>
      </c>
    </row>
    <row r="35" spans="1:6" ht="15" customHeight="1">
      <c r="A35" s="33" t="s">
        <v>215</v>
      </c>
      <c r="B35" s="34" t="s">
        <v>26</v>
      </c>
      <c r="C35" s="12">
        <v>258091.53</v>
      </c>
      <c r="D35" s="12">
        <v>260591.53</v>
      </c>
      <c r="E35" s="31"/>
      <c r="F35" s="32">
        <f>D35+E35</f>
        <v>260591.53</v>
      </c>
    </row>
    <row r="36" spans="1:6" ht="15" customHeight="1">
      <c r="A36" s="33" t="s">
        <v>216</v>
      </c>
      <c r="B36" s="34" t="s">
        <v>28</v>
      </c>
      <c r="C36" s="12">
        <v>26317</v>
      </c>
      <c r="D36" s="12">
        <v>137575.74</v>
      </c>
      <c r="E36" s="257">
        <f>'912 06'!I9</f>
        <v>3700</v>
      </c>
      <c r="F36" s="32">
        <f>D36+E36</f>
        <v>141275.74</v>
      </c>
    </row>
    <row r="37" spans="1:6" ht="15" customHeight="1">
      <c r="A37" s="33" t="s">
        <v>217</v>
      </c>
      <c r="B37" s="34" t="s">
        <v>26</v>
      </c>
      <c r="C37" s="12">
        <v>976800</v>
      </c>
      <c r="D37" s="12">
        <v>1025700</v>
      </c>
      <c r="E37" s="257"/>
      <c r="F37" s="32">
        <f aca="true" t="shared" si="1" ref="F37:F50">D37+E37</f>
        <v>1025700</v>
      </c>
    </row>
    <row r="38" spans="1:6" ht="15" customHeight="1">
      <c r="A38" s="33" t="s">
        <v>218</v>
      </c>
      <c r="B38" s="34" t="s">
        <v>26</v>
      </c>
      <c r="C38" s="12">
        <v>663582.31</v>
      </c>
      <c r="D38" s="12">
        <v>781030.42</v>
      </c>
      <c r="E38" s="253"/>
      <c r="F38" s="32">
        <f>D38+E38</f>
        <v>781030.42</v>
      </c>
    </row>
    <row r="39" spans="1:6" ht="15" customHeight="1">
      <c r="A39" s="33" t="s">
        <v>219</v>
      </c>
      <c r="B39" s="34" t="s">
        <v>26</v>
      </c>
      <c r="C39" s="12">
        <v>0</v>
      </c>
      <c r="D39" s="12">
        <v>4080391.12</v>
      </c>
      <c r="E39" s="253"/>
      <c r="F39" s="32">
        <f>D39+E39</f>
        <v>4080391.12</v>
      </c>
    </row>
    <row r="40" spans="1:6" ht="15" customHeight="1">
      <c r="A40" s="33" t="s">
        <v>220</v>
      </c>
      <c r="B40" s="34" t="s">
        <v>28</v>
      </c>
      <c r="C40" s="12">
        <v>92196.15</v>
      </c>
      <c r="D40" s="12">
        <v>525507.53</v>
      </c>
      <c r="E40" s="253"/>
      <c r="F40" s="32">
        <f>D40+E40</f>
        <v>525507.53</v>
      </c>
    </row>
    <row r="41" spans="1:6" ht="15" customHeight="1">
      <c r="A41" s="33" t="s">
        <v>221</v>
      </c>
      <c r="B41" s="34" t="s">
        <v>26</v>
      </c>
      <c r="C41" s="12">
        <v>26600</v>
      </c>
      <c r="D41" s="12">
        <v>27074</v>
      </c>
      <c r="E41" s="253"/>
      <c r="F41" s="32">
        <f>D41+E41</f>
        <v>27074</v>
      </c>
    </row>
    <row r="42" spans="1:6" ht="15" customHeight="1">
      <c r="A42" s="33" t="s">
        <v>222</v>
      </c>
      <c r="B42" s="34" t="s">
        <v>27</v>
      </c>
      <c r="C42" s="12">
        <v>308597</v>
      </c>
      <c r="D42" s="12">
        <v>782249.5800000001</v>
      </c>
      <c r="E42" s="253">
        <f>'920 06'!I9</f>
        <v>-1000</v>
      </c>
      <c r="F42" s="32">
        <f>D42+E42</f>
        <v>781249.5800000001</v>
      </c>
    </row>
    <row r="43" spans="1:6" ht="15" customHeight="1">
      <c r="A43" s="33" t="s">
        <v>223</v>
      </c>
      <c r="B43" s="34" t="s">
        <v>27</v>
      </c>
      <c r="C43" s="12">
        <v>0</v>
      </c>
      <c r="D43" s="12">
        <v>0</v>
      </c>
      <c r="E43" s="253"/>
      <c r="F43" s="32">
        <f t="shared" si="1"/>
        <v>0</v>
      </c>
    </row>
    <row r="44" spans="1:6" ht="15" customHeight="1">
      <c r="A44" s="33" t="s">
        <v>224</v>
      </c>
      <c r="B44" s="34" t="s">
        <v>28</v>
      </c>
      <c r="C44" s="12">
        <v>231817</v>
      </c>
      <c r="D44" s="12">
        <v>1146563.33</v>
      </c>
      <c r="E44" s="253"/>
      <c r="F44" s="32">
        <f t="shared" si="1"/>
        <v>1146563.33</v>
      </c>
    </row>
    <row r="45" spans="1:8" ht="15" customHeight="1">
      <c r="A45" s="33" t="s">
        <v>225</v>
      </c>
      <c r="B45" s="34" t="s">
        <v>28</v>
      </c>
      <c r="C45" s="12">
        <v>17500</v>
      </c>
      <c r="D45" s="12">
        <v>17500</v>
      </c>
      <c r="E45" s="257"/>
      <c r="F45" s="32">
        <f t="shared" si="1"/>
        <v>17500</v>
      </c>
      <c r="H45" s="35"/>
    </row>
    <row r="46" spans="1:6" ht="15" customHeight="1">
      <c r="A46" s="33" t="s">
        <v>226</v>
      </c>
      <c r="B46" s="34" t="s">
        <v>26</v>
      </c>
      <c r="C46" s="12">
        <v>6207.75</v>
      </c>
      <c r="D46" s="12">
        <v>9541.25</v>
      </c>
      <c r="E46" s="257"/>
      <c r="F46" s="32">
        <f t="shared" si="1"/>
        <v>9541.25</v>
      </c>
    </row>
    <row r="47" spans="1:6" ht="15" customHeight="1">
      <c r="A47" s="33" t="s">
        <v>227</v>
      </c>
      <c r="B47" s="34" t="s">
        <v>28</v>
      </c>
      <c r="C47" s="12">
        <v>67000</v>
      </c>
      <c r="D47" s="12">
        <v>129946.22</v>
      </c>
      <c r="E47" s="257"/>
      <c r="F47" s="32">
        <f t="shared" si="1"/>
        <v>129946.22</v>
      </c>
    </row>
    <row r="48" spans="1:6" ht="15" customHeight="1">
      <c r="A48" s="33" t="s">
        <v>228</v>
      </c>
      <c r="B48" s="34" t="s">
        <v>28</v>
      </c>
      <c r="C48" s="12">
        <v>5000</v>
      </c>
      <c r="D48" s="12">
        <v>11471.73</v>
      </c>
      <c r="E48" s="257"/>
      <c r="F48" s="32">
        <f t="shared" si="1"/>
        <v>11471.73</v>
      </c>
    </row>
    <row r="49" spans="1:6" ht="15" customHeight="1">
      <c r="A49" s="33" t="s">
        <v>229</v>
      </c>
      <c r="B49" s="34" t="s">
        <v>28</v>
      </c>
      <c r="C49" s="12">
        <v>18000</v>
      </c>
      <c r="D49" s="12">
        <v>79990.17</v>
      </c>
      <c r="E49" s="257"/>
      <c r="F49" s="32">
        <f t="shared" si="1"/>
        <v>79990.17</v>
      </c>
    </row>
    <row r="50" spans="1:6" ht="15" customHeight="1" thickBot="1">
      <c r="A50" s="33" t="s">
        <v>230</v>
      </c>
      <c r="B50" s="34" t="s">
        <v>28</v>
      </c>
      <c r="C50" s="12">
        <v>4000</v>
      </c>
      <c r="D50" s="12">
        <v>10122.21</v>
      </c>
      <c r="E50" s="257"/>
      <c r="F50" s="32">
        <f t="shared" si="1"/>
        <v>10122.21</v>
      </c>
    </row>
    <row r="51" spans="1:6" ht="15" customHeight="1" thickBot="1">
      <c r="A51" s="36" t="s">
        <v>29</v>
      </c>
      <c r="B51" s="37"/>
      <c r="C51" s="25">
        <f>SUM(C34:C50)</f>
        <v>2731205.7</v>
      </c>
      <c r="D51" s="25">
        <f>SUM(D34:D50)</f>
        <v>9054751.790000003</v>
      </c>
      <c r="E51" s="258">
        <f>SUM(E34:E50)</f>
        <v>2700</v>
      </c>
      <c r="F51" s="26">
        <f>SUM(F34:F50)</f>
        <v>9057451.790000003</v>
      </c>
    </row>
  </sheetData>
  <sheetProtection/>
  <mergeCells count="3">
    <mergeCell ref="A1:F1"/>
    <mergeCell ref="A3:F3"/>
    <mergeCell ref="A31:F31"/>
  </mergeCells>
  <printOptions horizontalCentered="1"/>
  <pageMargins left="0.1968503937007874" right="0.1968503937007874" top="0.8267716535433072" bottom="0.5905511811023623" header="0.1968503937007874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IV33"/>
  <sheetViews>
    <sheetView zoomScalePageLayoutView="0" workbookViewId="0" topLeftCell="A4">
      <selection activeCell="J10" sqref="J10"/>
    </sheetView>
  </sheetViews>
  <sheetFormatPr defaultColWidth="9.140625" defaultRowHeight="12.75"/>
  <cols>
    <col min="1" max="1" width="4.7109375" style="59" customWidth="1"/>
    <col min="2" max="2" width="3.00390625" style="59" customWidth="1"/>
    <col min="3" max="3" width="9.57421875" style="59" customWidth="1"/>
    <col min="4" max="4" width="4.28125" style="59" customWidth="1"/>
    <col min="5" max="5" width="5.28125" style="59" customWidth="1"/>
    <col min="6" max="6" width="7.8515625" style="59" bestFit="1" customWidth="1"/>
    <col min="7" max="7" width="43.7109375" style="59" customWidth="1"/>
    <col min="8" max="9" width="8.7109375" style="59" customWidth="1"/>
    <col min="10" max="10" width="9.28125" style="59" customWidth="1"/>
    <col min="11" max="11" width="9.00390625" style="59" customWidth="1"/>
    <col min="12" max="16384" width="8.8515625" style="59" customWidth="1"/>
  </cols>
  <sheetData>
    <row r="1" spans="1:11" ht="17.25">
      <c r="A1" s="331" t="s">
        <v>186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1" ht="17.25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2.75">
      <c r="A3" s="341" t="s">
        <v>39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</row>
    <row r="4" spans="1:11" ht="13.5" thickBot="1">
      <c r="A4" s="191"/>
      <c r="B4" s="191"/>
      <c r="C4" s="191"/>
      <c r="D4" s="191"/>
      <c r="E4" s="191"/>
      <c r="F4" s="191"/>
      <c r="G4" s="191"/>
      <c r="H4" s="191"/>
      <c r="I4" s="192"/>
      <c r="K4" s="192" t="s">
        <v>38</v>
      </c>
    </row>
    <row r="5" spans="1:11" ht="13.5" thickBot="1">
      <c r="A5" s="327" t="s">
        <v>40</v>
      </c>
      <c r="B5" s="329" t="s">
        <v>4</v>
      </c>
      <c r="C5" s="329" t="s">
        <v>6</v>
      </c>
      <c r="D5" s="329" t="s">
        <v>7</v>
      </c>
      <c r="E5" s="329" t="s">
        <v>8</v>
      </c>
      <c r="F5" s="329" t="s">
        <v>41</v>
      </c>
      <c r="G5" s="333" t="s">
        <v>187</v>
      </c>
      <c r="H5" s="335" t="s">
        <v>122</v>
      </c>
      <c r="I5" s="337" t="s">
        <v>123</v>
      </c>
      <c r="J5" s="339" t="s">
        <v>231</v>
      </c>
      <c r="K5" s="340"/>
    </row>
    <row r="6" spans="1:11" ht="13.5" thickBot="1">
      <c r="A6" s="328"/>
      <c r="B6" s="330"/>
      <c r="C6" s="330"/>
      <c r="D6" s="330"/>
      <c r="E6" s="330"/>
      <c r="F6" s="332"/>
      <c r="G6" s="334"/>
      <c r="H6" s="336"/>
      <c r="I6" s="338"/>
      <c r="J6" s="51" t="s">
        <v>22</v>
      </c>
      <c r="K6" s="193" t="s">
        <v>124</v>
      </c>
    </row>
    <row r="7" spans="1:256" ht="13.5" thickBot="1">
      <c r="A7" s="194" t="s">
        <v>3</v>
      </c>
      <c r="B7" s="195" t="s">
        <v>5</v>
      </c>
      <c r="C7" s="196" t="s">
        <v>3</v>
      </c>
      <c r="D7" s="197" t="s">
        <v>3</v>
      </c>
      <c r="E7" s="197" t="s">
        <v>3</v>
      </c>
      <c r="F7" s="198"/>
      <c r="G7" s="199" t="s">
        <v>42</v>
      </c>
      <c r="H7" s="200">
        <f>H8+H11+H22+H25+H27</f>
        <v>40630</v>
      </c>
      <c r="I7" s="201">
        <f>I8+I11+I22+I25+I27</f>
        <v>44836.878</v>
      </c>
      <c r="J7" s="244">
        <f>J8+J11+J22+J25+J27</f>
        <v>2700</v>
      </c>
      <c r="K7" s="203">
        <f>K8+K11+K22+K25+K27</f>
        <v>47536.878</v>
      </c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8"/>
      <c r="IV7" s="58"/>
    </row>
    <row r="8" spans="1:256" ht="13.5" thickBot="1">
      <c r="A8" s="161" t="s">
        <v>3</v>
      </c>
      <c r="B8" s="162" t="s">
        <v>5</v>
      </c>
      <c r="C8" s="163" t="s">
        <v>3</v>
      </c>
      <c r="D8" s="164" t="s">
        <v>3</v>
      </c>
      <c r="E8" s="164" t="s">
        <v>10</v>
      </c>
      <c r="F8" s="165"/>
      <c r="G8" s="166" t="s">
        <v>43</v>
      </c>
      <c r="H8" s="167">
        <f>H9+H10</f>
        <v>460</v>
      </c>
      <c r="I8" s="204">
        <f>I9+I10</f>
        <v>460</v>
      </c>
      <c r="J8" s="241">
        <f>J9+J10</f>
        <v>28.265</v>
      </c>
      <c r="K8" s="206">
        <f>K9+K10</f>
        <v>488.265</v>
      </c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  <c r="IT8" s="58"/>
      <c r="IU8" s="58"/>
      <c r="IV8" s="58"/>
    </row>
    <row r="9" spans="1:256" ht="12.75">
      <c r="A9" s="207" t="s">
        <v>44</v>
      </c>
      <c r="B9" s="53" t="s">
        <v>45</v>
      </c>
      <c r="C9" s="208" t="s">
        <v>3</v>
      </c>
      <c r="D9" s="53" t="s">
        <v>3</v>
      </c>
      <c r="E9" s="54">
        <v>1354</v>
      </c>
      <c r="F9" s="209"/>
      <c r="G9" s="55" t="s">
        <v>46</v>
      </c>
      <c r="H9" s="56">
        <v>0</v>
      </c>
      <c r="I9" s="210">
        <v>0</v>
      </c>
      <c r="J9" s="320">
        <v>28.265</v>
      </c>
      <c r="K9" s="149">
        <f>I9+J9</f>
        <v>28.265</v>
      </c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  <c r="IV9" s="58"/>
    </row>
    <row r="10" spans="1:256" ht="13.5" thickBot="1">
      <c r="A10" s="211" t="s">
        <v>44</v>
      </c>
      <c r="B10" s="60" t="s">
        <v>45</v>
      </c>
      <c r="C10" s="208" t="s">
        <v>3</v>
      </c>
      <c r="D10" s="53" t="s">
        <v>3</v>
      </c>
      <c r="E10" s="54">
        <v>1361</v>
      </c>
      <c r="F10" s="212"/>
      <c r="G10" s="61" t="s">
        <v>47</v>
      </c>
      <c r="H10" s="62">
        <v>460</v>
      </c>
      <c r="I10" s="63">
        <v>460</v>
      </c>
      <c r="J10" s="321"/>
      <c r="K10" s="178">
        <f>I10+J10</f>
        <v>460</v>
      </c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  <c r="IR10" s="58"/>
      <c r="IS10" s="58"/>
      <c r="IT10" s="58"/>
      <c r="IU10" s="58"/>
      <c r="IV10" s="58"/>
    </row>
    <row r="11" spans="1:256" ht="13.5" thickBot="1">
      <c r="A11" s="161" t="s">
        <v>3</v>
      </c>
      <c r="B11" s="162" t="s">
        <v>5</v>
      </c>
      <c r="C11" s="163" t="s">
        <v>3</v>
      </c>
      <c r="D11" s="164" t="s">
        <v>3</v>
      </c>
      <c r="E11" s="164" t="s">
        <v>11</v>
      </c>
      <c r="F11" s="165"/>
      <c r="G11" s="166" t="s">
        <v>48</v>
      </c>
      <c r="H11" s="167">
        <f>H12+H13+H14+H16+H18+H20</f>
        <v>14036.93</v>
      </c>
      <c r="I11" s="204">
        <f>I12+I13+I14+I16+I18+I20</f>
        <v>14036.93</v>
      </c>
      <c r="J11" s="241">
        <f>J12+J13+J14+J16+J18+J20</f>
        <v>2671.735</v>
      </c>
      <c r="K11" s="206">
        <f>K12+K13+K14+K16+K18+K20</f>
        <v>16708.665</v>
      </c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  <c r="IS11" s="58"/>
      <c r="IT11" s="58"/>
      <c r="IU11" s="58"/>
      <c r="IV11" s="58"/>
    </row>
    <row r="12" spans="1:256" ht="12.75">
      <c r="A12" s="213" t="s">
        <v>44</v>
      </c>
      <c r="B12" s="64" t="s">
        <v>45</v>
      </c>
      <c r="C12" s="214" t="s">
        <v>3</v>
      </c>
      <c r="D12" s="215">
        <v>2229</v>
      </c>
      <c r="E12" s="65">
        <v>2119</v>
      </c>
      <c r="F12" s="216"/>
      <c r="G12" s="66" t="s">
        <v>49</v>
      </c>
      <c r="H12" s="57">
        <v>6800</v>
      </c>
      <c r="I12" s="57">
        <v>6800</v>
      </c>
      <c r="J12" s="217"/>
      <c r="K12" s="218">
        <f>I12+J12</f>
        <v>6800</v>
      </c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  <c r="IR12" s="58"/>
      <c r="IS12" s="58"/>
      <c r="IT12" s="58"/>
      <c r="IU12" s="58"/>
      <c r="IV12" s="58"/>
    </row>
    <row r="13" spans="1:256" ht="13.5" thickBot="1">
      <c r="A13" s="211" t="s">
        <v>44</v>
      </c>
      <c r="B13" s="67" t="s">
        <v>45</v>
      </c>
      <c r="C13" s="219" t="s">
        <v>3</v>
      </c>
      <c r="D13" s="179">
        <v>2299</v>
      </c>
      <c r="E13" s="68">
        <v>2212</v>
      </c>
      <c r="F13" s="220"/>
      <c r="G13" s="69" t="s">
        <v>50</v>
      </c>
      <c r="H13" s="70">
        <v>2000</v>
      </c>
      <c r="I13" s="70">
        <v>2000</v>
      </c>
      <c r="J13" s="221"/>
      <c r="K13" s="178">
        <f>I13+J13</f>
        <v>2000</v>
      </c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  <c r="IR13" s="58"/>
      <c r="IS13" s="58"/>
      <c r="IT13" s="58"/>
      <c r="IU13" s="58"/>
      <c r="IV13" s="58"/>
    </row>
    <row r="14" spans="1:256" ht="12.75">
      <c r="A14" s="317" t="s">
        <v>314</v>
      </c>
      <c r="B14" s="318" t="s">
        <v>5</v>
      </c>
      <c r="C14" s="113" t="s">
        <v>315</v>
      </c>
      <c r="D14" s="130" t="s">
        <v>3</v>
      </c>
      <c r="E14" s="130" t="s">
        <v>3</v>
      </c>
      <c r="F14" s="318" t="s">
        <v>3</v>
      </c>
      <c r="G14" s="278" t="s">
        <v>316</v>
      </c>
      <c r="H14" s="39">
        <f>SUM(H15:H15)</f>
        <v>0</v>
      </c>
      <c r="I14" s="39">
        <f>SUM(I15:I15)</f>
        <v>0</v>
      </c>
      <c r="J14" s="322">
        <f>SUM(J15:J15)</f>
        <v>1145.935</v>
      </c>
      <c r="K14" s="39">
        <f>SUM(K15:K15)</f>
        <v>1145.935</v>
      </c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  <c r="IR14" s="58"/>
      <c r="IS14" s="58"/>
      <c r="IT14" s="58"/>
      <c r="IU14" s="58"/>
      <c r="IV14" s="58"/>
    </row>
    <row r="15" spans="1:256" ht="13.5" thickBot="1">
      <c r="A15" s="314"/>
      <c r="B15" s="315"/>
      <c r="C15" s="316"/>
      <c r="D15" s="179">
        <v>6402</v>
      </c>
      <c r="E15" s="68">
        <v>2229</v>
      </c>
      <c r="F15" s="220"/>
      <c r="G15" s="69" t="s">
        <v>310</v>
      </c>
      <c r="H15" s="50">
        <v>0</v>
      </c>
      <c r="I15" s="319">
        <v>0</v>
      </c>
      <c r="J15" s="323">
        <v>1145.935</v>
      </c>
      <c r="K15" s="81">
        <f>I15+J15</f>
        <v>1145.935</v>
      </c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  <c r="IR15" s="58"/>
      <c r="IS15" s="58"/>
      <c r="IT15" s="58"/>
      <c r="IU15" s="58"/>
      <c r="IV15" s="58"/>
    </row>
    <row r="16" spans="1:256" ht="20.25">
      <c r="A16" s="307" t="s">
        <v>309</v>
      </c>
      <c r="B16" s="71" t="s">
        <v>5</v>
      </c>
      <c r="C16" s="308" t="s">
        <v>313</v>
      </c>
      <c r="D16" s="309" t="s">
        <v>3</v>
      </c>
      <c r="E16" s="310" t="s">
        <v>3</v>
      </c>
      <c r="F16" s="309" t="s">
        <v>3</v>
      </c>
      <c r="G16" s="311" t="s">
        <v>312</v>
      </c>
      <c r="H16" s="312">
        <f>SUM(H17:H17)</f>
        <v>0</v>
      </c>
      <c r="I16" s="312">
        <f>SUM(I17:I17)</f>
        <v>0</v>
      </c>
      <c r="J16" s="324">
        <f>SUM(J17:J17)</f>
        <v>37.987</v>
      </c>
      <c r="K16" s="313">
        <f>SUM(K17:K17)</f>
        <v>37.987</v>
      </c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  <c r="IT16" s="58"/>
      <c r="IU16" s="58"/>
      <c r="IV16" s="58"/>
    </row>
    <row r="17" spans="1:256" ht="13.5" thickBot="1">
      <c r="A17" s="314"/>
      <c r="B17" s="315"/>
      <c r="C17" s="316"/>
      <c r="D17" s="179">
        <v>6402</v>
      </c>
      <c r="E17" s="68">
        <v>2229</v>
      </c>
      <c r="F17" s="220"/>
      <c r="G17" s="69" t="s">
        <v>310</v>
      </c>
      <c r="H17" s="70">
        <v>0</v>
      </c>
      <c r="I17" s="70">
        <v>0</v>
      </c>
      <c r="J17" s="182">
        <v>37.987</v>
      </c>
      <c r="K17" s="185">
        <f>I17+J17</f>
        <v>37.987</v>
      </c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  <c r="IT17" s="58"/>
      <c r="IU17" s="58"/>
      <c r="IV17" s="58"/>
    </row>
    <row r="18" spans="1:256" ht="12.75">
      <c r="A18" s="317" t="s">
        <v>118</v>
      </c>
      <c r="B18" s="318" t="s">
        <v>5</v>
      </c>
      <c r="C18" s="113" t="s">
        <v>311</v>
      </c>
      <c r="D18" s="130" t="s">
        <v>3</v>
      </c>
      <c r="E18" s="130" t="s">
        <v>3</v>
      </c>
      <c r="F18" s="318" t="s">
        <v>3</v>
      </c>
      <c r="G18" s="288" t="s">
        <v>262</v>
      </c>
      <c r="H18" s="39">
        <f>SUM(H19:H19)</f>
        <v>0</v>
      </c>
      <c r="I18" s="39">
        <f>SUM(I19:I19)</f>
        <v>0</v>
      </c>
      <c r="J18" s="322">
        <f>SUM(J19:J19)</f>
        <v>1487.813</v>
      </c>
      <c r="K18" s="39">
        <f>SUM(K19:K19)</f>
        <v>1487.813</v>
      </c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  <c r="IR18" s="58"/>
      <c r="IS18" s="58"/>
      <c r="IT18" s="58"/>
      <c r="IU18" s="58"/>
      <c r="IV18" s="58"/>
    </row>
    <row r="19" spans="1:256" ht="13.5" thickBot="1">
      <c r="A19" s="314"/>
      <c r="B19" s="315"/>
      <c r="C19" s="316"/>
      <c r="D19" s="179">
        <v>6402</v>
      </c>
      <c r="E19" s="68">
        <v>2229</v>
      </c>
      <c r="F19" s="220"/>
      <c r="G19" s="69" t="s">
        <v>310</v>
      </c>
      <c r="H19" s="50">
        <v>0</v>
      </c>
      <c r="I19" s="50">
        <v>0</v>
      </c>
      <c r="J19" s="323">
        <v>1487.813</v>
      </c>
      <c r="K19" s="81">
        <f>I19+J19</f>
        <v>1487.813</v>
      </c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  <c r="IR19" s="58"/>
      <c r="IS19" s="58"/>
      <c r="IT19" s="58"/>
      <c r="IU19" s="58"/>
      <c r="IV19" s="58"/>
    </row>
    <row r="20" spans="1:256" ht="12.75">
      <c r="A20" s="77" t="s">
        <v>44</v>
      </c>
      <c r="B20" s="78" t="s">
        <v>5</v>
      </c>
      <c r="C20" s="79" t="s">
        <v>3</v>
      </c>
      <c r="D20" s="71" t="s">
        <v>3</v>
      </c>
      <c r="E20" s="71" t="s">
        <v>3</v>
      </c>
      <c r="F20" s="71" t="s">
        <v>3</v>
      </c>
      <c r="G20" s="222" t="s">
        <v>188</v>
      </c>
      <c r="H20" s="80">
        <f>SUM(H21:H21)</f>
        <v>5236.93</v>
      </c>
      <c r="I20" s="80">
        <f>SUM(I21:I21)</f>
        <v>5236.93</v>
      </c>
      <c r="J20" s="242">
        <f>SUM(J21:J21)</f>
        <v>0</v>
      </c>
      <c r="K20" s="80">
        <f>SUM(K21:K21)</f>
        <v>5236.93</v>
      </c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  <c r="IR20" s="58"/>
      <c r="IS20" s="58"/>
      <c r="IT20" s="58"/>
      <c r="IU20" s="58"/>
      <c r="IV20" s="58"/>
    </row>
    <row r="21" spans="1:256" ht="13.5" thickBot="1">
      <c r="A21" s="224"/>
      <c r="B21" s="225"/>
      <c r="C21" s="157"/>
      <c r="D21" s="158">
        <v>2292</v>
      </c>
      <c r="E21" s="158">
        <v>2329</v>
      </c>
      <c r="F21" s="159"/>
      <c r="G21" s="226" t="s">
        <v>189</v>
      </c>
      <c r="H21" s="81">
        <v>5236.93</v>
      </c>
      <c r="I21" s="227">
        <v>5236.93</v>
      </c>
      <c r="J21" s="243"/>
      <c r="K21" s="81">
        <f>I21+J21</f>
        <v>5236.93</v>
      </c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256" ht="13.5" thickBot="1">
      <c r="A22" s="161" t="s">
        <v>3</v>
      </c>
      <c r="B22" s="162" t="s">
        <v>5</v>
      </c>
      <c r="C22" s="163" t="s">
        <v>3</v>
      </c>
      <c r="D22" s="164" t="s">
        <v>3</v>
      </c>
      <c r="E22" s="164" t="s">
        <v>12</v>
      </c>
      <c r="F22" s="165"/>
      <c r="G22" s="166" t="s">
        <v>51</v>
      </c>
      <c r="H22" s="167">
        <f>H23+H24</f>
        <v>0</v>
      </c>
      <c r="I22" s="204">
        <f>I23+I24</f>
        <v>0</v>
      </c>
      <c r="J22" s="205">
        <f>J23+J24</f>
        <v>0</v>
      </c>
      <c r="K22" s="206">
        <f>K23+K24</f>
        <v>0</v>
      </c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  <c r="IR22" s="58"/>
      <c r="IS22" s="58"/>
      <c r="IT22" s="58"/>
      <c r="IU22" s="58"/>
      <c r="IV22" s="58"/>
    </row>
    <row r="23" spans="1:256" ht="12.75">
      <c r="A23" s="213" t="s">
        <v>44</v>
      </c>
      <c r="B23" s="73" t="s">
        <v>45</v>
      </c>
      <c r="C23" s="214" t="s">
        <v>3</v>
      </c>
      <c r="D23" s="228">
        <v>6172</v>
      </c>
      <c r="E23" s="228">
        <v>3111</v>
      </c>
      <c r="F23" s="229"/>
      <c r="G23" s="230" t="s">
        <v>52</v>
      </c>
      <c r="H23" s="231">
        <v>0</v>
      </c>
      <c r="I23" s="232">
        <v>0</v>
      </c>
      <c r="J23" s="233"/>
      <c r="K23" s="138">
        <f>I23+J23</f>
        <v>0</v>
      </c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  <c r="IV23" s="58"/>
    </row>
    <row r="24" spans="1:256" ht="13.5" thickBot="1">
      <c r="A24" s="211" t="s">
        <v>44</v>
      </c>
      <c r="B24" s="67" t="s">
        <v>45</v>
      </c>
      <c r="C24" s="219" t="s">
        <v>3</v>
      </c>
      <c r="D24" s="234">
        <v>6172</v>
      </c>
      <c r="E24" s="234">
        <v>3112</v>
      </c>
      <c r="F24" s="235"/>
      <c r="G24" s="236" t="s">
        <v>53</v>
      </c>
      <c r="H24" s="237">
        <v>0</v>
      </c>
      <c r="I24" s="238">
        <v>0</v>
      </c>
      <c r="J24" s="238"/>
      <c r="K24" s="178">
        <f>I24+J24</f>
        <v>0</v>
      </c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  <c r="IU24" s="58"/>
      <c r="IV24" s="58"/>
    </row>
    <row r="25" spans="1:256" ht="13.5" thickBot="1">
      <c r="A25" s="161" t="s">
        <v>3</v>
      </c>
      <c r="B25" s="162" t="s">
        <v>5</v>
      </c>
      <c r="C25" s="163" t="s">
        <v>3</v>
      </c>
      <c r="D25" s="164" t="s">
        <v>3</v>
      </c>
      <c r="E25" s="164" t="s">
        <v>54</v>
      </c>
      <c r="F25" s="165"/>
      <c r="G25" s="166" t="s">
        <v>55</v>
      </c>
      <c r="H25" s="167">
        <f>H26</f>
        <v>26133.07</v>
      </c>
      <c r="I25" s="204">
        <f>I26</f>
        <v>26133.07</v>
      </c>
      <c r="J25" s="205">
        <f>J26</f>
        <v>0</v>
      </c>
      <c r="K25" s="206">
        <f>K26</f>
        <v>26133.07</v>
      </c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  <c r="IU25" s="58"/>
      <c r="IV25" s="58"/>
    </row>
    <row r="26" spans="1:256" ht="13.5" thickBot="1">
      <c r="A26" s="239" t="s">
        <v>44</v>
      </c>
      <c r="B26" s="240" t="s">
        <v>45</v>
      </c>
      <c r="C26" s="219" t="s">
        <v>3</v>
      </c>
      <c r="D26" s="60" t="s">
        <v>3</v>
      </c>
      <c r="E26" s="68">
        <v>4121</v>
      </c>
      <c r="F26" s="212"/>
      <c r="G26" s="74" t="s">
        <v>56</v>
      </c>
      <c r="H26" s="75">
        <v>26133.07</v>
      </c>
      <c r="I26" s="76">
        <v>26133.07</v>
      </c>
      <c r="J26" s="202"/>
      <c r="K26" s="50">
        <f>I26+J26</f>
        <v>26133.07</v>
      </c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  <c r="IT26" s="58"/>
      <c r="IU26" s="58"/>
      <c r="IV26" s="58"/>
    </row>
    <row r="27" spans="1:12" ht="13.5" thickBot="1">
      <c r="A27" s="161" t="s">
        <v>3</v>
      </c>
      <c r="B27" s="162" t="s">
        <v>5</v>
      </c>
      <c r="C27" s="163" t="s">
        <v>3</v>
      </c>
      <c r="D27" s="164" t="s">
        <v>3</v>
      </c>
      <c r="E27" s="164" t="s">
        <v>120</v>
      </c>
      <c r="F27" s="165"/>
      <c r="G27" s="166" t="s">
        <v>121</v>
      </c>
      <c r="H27" s="167">
        <f>H28+H30+H32</f>
        <v>0</v>
      </c>
      <c r="I27" s="204">
        <f>I28+I30+I32</f>
        <v>4206.878</v>
      </c>
      <c r="J27" s="241">
        <f>J28+J30+J32</f>
        <v>0</v>
      </c>
      <c r="K27" s="206">
        <f>K28+K30+K32</f>
        <v>4206.878</v>
      </c>
      <c r="L27" s="58"/>
    </row>
    <row r="28" spans="1:11" ht="12.75">
      <c r="A28" s="152" t="s">
        <v>118</v>
      </c>
      <c r="B28" s="153" t="s">
        <v>5</v>
      </c>
      <c r="C28" s="154" t="s">
        <v>190</v>
      </c>
      <c r="D28" s="153" t="s">
        <v>3</v>
      </c>
      <c r="E28" s="153" t="s">
        <v>3</v>
      </c>
      <c r="F28" s="71" t="s">
        <v>3</v>
      </c>
      <c r="G28" s="155" t="s">
        <v>117</v>
      </c>
      <c r="H28" s="80">
        <f>SUM(H29:H29)</f>
        <v>0</v>
      </c>
      <c r="I28" s="80">
        <f>SUM(I29:I29)</f>
        <v>1737.668</v>
      </c>
      <c r="J28" s="242">
        <f>SUM(J29:J29)</f>
        <v>0</v>
      </c>
      <c r="K28" s="80">
        <f>SUM(K29:K29)</f>
        <v>1737.668</v>
      </c>
    </row>
    <row r="29" spans="1:11" ht="13.5" thickBot="1">
      <c r="A29" s="156"/>
      <c r="B29" s="49"/>
      <c r="C29" s="157"/>
      <c r="D29" s="158"/>
      <c r="E29" s="158">
        <v>4221</v>
      </c>
      <c r="F29" s="159"/>
      <c r="G29" s="160" t="s">
        <v>119</v>
      </c>
      <c r="H29" s="81">
        <v>0</v>
      </c>
      <c r="I29" s="227">
        <v>1737.668</v>
      </c>
      <c r="J29" s="243"/>
      <c r="K29" s="81">
        <f>I29+J29</f>
        <v>1737.668</v>
      </c>
    </row>
    <row r="30" spans="1:256" s="52" customFormat="1" ht="13.5" customHeight="1">
      <c r="A30" s="152" t="s">
        <v>118</v>
      </c>
      <c r="B30" s="153" t="s">
        <v>5</v>
      </c>
      <c r="C30" s="154" t="s">
        <v>191</v>
      </c>
      <c r="D30" s="153" t="s">
        <v>3</v>
      </c>
      <c r="E30" s="153" t="s">
        <v>3</v>
      </c>
      <c r="F30" s="71" t="s">
        <v>3</v>
      </c>
      <c r="G30" s="155" t="s">
        <v>153</v>
      </c>
      <c r="H30" s="80">
        <f>SUM(H31:H31)</f>
        <v>0</v>
      </c>
      <c r="I30" s="80">
        <f>SUM(I31:I31)</f>
        <v>1083.104</v>
      </c>
      <c r="J30" s="242">
        <f>SUM(J31:J31)</f>
        <v>0</v>
      </c>
      <c r="K30" s="80">
        <f>SUM(K31:K31)</f>
        <v>1083.104</v>
      </c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  <c r="IR30" s="59"/>
      <c r="IS30" s="59"/>
      <c r="IT30" s="59"/>
      <c r="IU30" s="59"/>
      <c r="IV30" s="59"/>
    </row>
    <row r="31" spans="1:256" s="52" customFormat="1" ht="13.5" customHeight="1" thickBot="1">
      <c r="A31" s="156"/>
      <c r="B31" s="49"/>
      <c r="C31" s="157"/>
      <c r="D31" s="158"/>
      <c r="E31" s="158">
        <v>4221</v>
      </c>
      <c r="F31" s="159"/>
      <c r="G31" s="160" t="s">
        <v>119</v>
      </c>
      <c r="H31" s="81">
        <v>0</v>
      </c>
      <c r="I31" s="227">
        <v>1083.104</v>
      </c>
      <c r="J31" s="243"/>
      <c r="K31" s="81">
        <f>I31+J31</f>
        <v>1083.104</v>
      </c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  <c r="IR31" s="59"/>
      <c r="IS31" s="59"/>
      <c r="IT31" s="59"/>
      <c r="IU31" s="59"/>
      <c r="IV31" s="59"/>
    </row>
    <row r="32" spans="1:11" ht="12.75" customHeight="1">
      <c r="A32" s="152" t="s">
        <v>118</v>
      </c>
      <c r="B32" s="153" t="s">
        <v>5</v>
      </c>
      <c r="C32" s="154" t="s">
        <v>192</v>
      </c>
      <c r="D32" s="153" t="s">
        <v>3</v>
      </c>
      <c r="E32" s="153" t="s">
        <v>3</v>
      </c>
      <c r="F32" s="71" t="s">
        <v>3</v>
      </c>
      <c r="G32" s="155" t="s">
        <v>75</v>
      </c>
      <c r="H32" s="80">
        <f>SUM(H33:H33)</f>
        <v>0</v>
      </c>
      <c r="I32" s="223">
        <f>SUM(I33:I33)</f>
        <v>1386.106</v>
      </c>
      <c r="J32" s="242">
        <f>SUM(J33:J33)</f>
        <v>0</v>
      </c>
      <c r="K32" s="80">
        <f>SUM(K33:K33)</f>
        <v>1386.106</v>
      </c>
    </row>
    <row r="33" spans="1:11" ht="13.5" thickBot="1">
      <c r="A33" s="156"/>
      <c r="B33" s="49"/>
      <c r="C33" s="157"/>
      <c r="D33" s="158"/>
      <c r="E33" s="158">
        <v>4221</v>
      </c>
      <c r="F33" s="159"/>
      <c r="G33" s="160" t="s">
        <v>119</v>
      </c>
      <c r="H33" s="81">
        <v>0</v>
      </c>
      <c r="I33" s="227">
        <v>1386.106</v>
      </c>
      <c r="J33" s="243"/>
      <c r="K33" s="81">
        <f>I33+J33</f>
        <v>1386.106</v>
      </c>
    </row>
    <row r="48" ht="12.75" customHeight="1"/>
  </sheetData>
  <sheetProtection/>
  <mergeCells count="12">
    <mergeCell ref="J5:K5"/>
    <mergeCell ref="A3:K3"/>
    <mergeCell ref="A5:A6"/>
    <mergeCell ref="B5:B6"/>
    <mergeCell ref="A1:K1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1968503937007874" right="0.1968503937007874" top="0.7874015748031497" bottom="0.5905511811023623" header="0" footer="0"/>
  <pageSetup fitToHeight="1" fitToWidth="1" horizontalDpi="600" verticalDpi="600" orientation="portrait" paperSize="9" scale="89" r:id="rId1"/>
  <headerFooter alignWithMargins="0">
    <oddHeader>&amp;R&amp;F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4"/>
  <sheetViews>
    <sheetView zoomScalePageLayoutView="0" workbookViewId="0" topLeftCell="A13">
      <selection activeCell="F31" sqref="F31"/>
    </sheetView>
  </sheetViews>
  <sheetFormatPr defaultColWidth="9.140625" defaultRowHeight="12.75"/>
  <cols>
    <col min="1" max="1" width="3.8515625" style="269" customWidth="1"/>
    <col min="2" max="2" width="3.00390625" style="269" customWidth="1"/>
    <col min="3" max="3" width="10.140625" style="269" customWidth="1"/>
    <col min="4" max="4" width="4.28125" style="269" customWidth="1"/>
    <col min="5" max="5" width="5.28125" style="269" customWidth="1"/>
    <col min="6" max="6" width="40.57421875" style="269" customWidth="1"/>
    <col min="7" max="7" width="8.140625" style="269" customWidth="1"/>
    <col min="8" max="8" width="8.7109375" style="269" customWidth="1"/>
    <col min="9" max="9" width="9.00390625" style="269" customWidth="1"/>
    <col min="10" max="10" width="9.421875" style="269" customWidth="1"/>
    <col min="11" max="16384" width="9.140625" style="269" customWidth="1"/>
  </cols>
  <sheetData>
    <row r="1" spans="1:10" s="1" customFormat="1" ht="17.25">
      <c r="A1" s="355" t="s">
        <v>257</v>
      </c>
      <c r="B1" s="355"/>
      <c r="C1" s="355"/>
      <c r="D1" s="355"/>
      <c r="E1" s="355"/>
      <c r="F1" s="355"/>
      <c r="G1" s="355"/>
      <c r="H1" s="355"/>
      <c r="I1" s="355"/>
      <c r="J1" s="355"/>
    </row>
    <row r="2" s="1" customFormat="1" ht="12.75"/>
    <row r="3" spans="1:10" s="259" customFormat="1" ht="17.25">
      <c r="A3" s="356" t="s">
        <v>232</v>
      </c>
      <c r="B3" s="356"/>
      <c r="C3" s="356"/>
      <c r="D3" s="356"/>
      <c r="E3" s="356"/>
      <c r="F3" s="356"/>
      <c r="G3" s="356"/>
      <c r="H3" s="356"/>
      <c r="I3" s="356"/>
      <c r="J3" s="356"/>
    </row>
    <row r="4" spans="1:10" s="266" customFormat="1" ht="12.75">
      <c r="A4" s="260"/>
      <c r="B4" s="261"/>
      <c r="C4" s="262"/>
      <c r="D4" s="261"/>
      <c r="E4" s="261"/>
      <c r="F4" s="263"/>
      <c r="G4" s="264"/>
      <c r="H4" s="264"/>
      <c r="I4" s="264"/>
      <c r="J4" s="265"/>
    </row>
    <row r="5" spans="1:10" s="266" customFormat="1" ht="15.75" customHeight="1">
      <c r="A5" s="357" t="s">
        <v>36</v>
      </c>
      <c r="B5" s="357"/>
      <c r="C5" s="357"/>
      <c r="D5" s="357"/>
      <c r="E5" s="357"/>
      <c r="F5" s="357"/>
      <c r="G5" s="357"/>
      <c r="H5" s="357"/>
      <c r="I5" s="357"/>
      <c r="J5" s="357"/>
    </row>
    <row r="6" spans="1:10" ht="13.5" thickBot="1">
      <c r="A6" s="267"/>
      <c r="B6" s="267"/>
      <c r="C6" s="267"/>
      <c r="D6" s="267"/>
      <c r="E6" s="267"/>
      <c r="F6" s="267"/>
      <c r="G6" s="267"/>
      <c r="H6" s="268"/>
      <c r="J6" s="268" t="s">
        <v>38</v>
      </c>
    </row>
    <row r="7" spans="1:10" s="1" customFormat="1" ht="12.75" customHeight="1" thickBot="1">
      <c r="A7" s="358" t="s">
        <v>233</v>
      </c>
      <c r="B7" s="360" t="s">
        <v>4</v>
      </c>
      <c r="C7" s="342" t="s">
        <v>6</v>
      </c>
      <c r="D7" s="342" t="s">
        <v>7</v>
      </c>
      <c r="E7" s="342" t="s">
        <v>8</v>
      </c>
      <c r="F7" s="344" t="s">
        <v>234</v>
      </c>
      <c r="G7" s="346" t="s">
        <v>122</v>
      </c>
      <c r="H7" s="348" t="s">
        <v>123</v>
      </c>
      <c r="I7" s="350" t="s">
        <v>258</v>
      </c>
      <c r="J7" s="351"/>
    </row>
    <row r="8" spans="1:10" s="1" customFormat="1" ht="12.75" customHeight="1" thickBot="1">
      <c r="A8" s="359"/>
      <c r="B8" s="361"/>
      <c r="C8" s="343"/>
      <c r="D8" s="343"/>
      <c r="E8" s="343"/>
      <c r="F8" s="345"/>
      <c r="G8" s="347"/>
      <c r="H8" s="349"/>
      <c r="I8" s="270" t="s">
        <v>22</v>
      </c>
      <c r="J8" s="271" t="s">
        <v>124</v>
      </c>
    </row>
    <row r="9" spans="1:10" s="1" customFormat="1" ht="12.75" customHeight="1" thickBot="1">
      <c r="A9" s="352" t="s">
        <v>33</v>
      </c>
      <c r="B9" s="272" t="s">
        <v>5</v>
      </c>
      <c r="C9" s="273" t="s">
        <v>6</v>
      </c>
      <c r="D9" s="273" t="s">
        <v>7</v>
      </c>
      <c r="E9" s="273" t="s">
        <v>8</v>
      </c>
      <c r="F9" s="274" t="s">
        <v>235</v>
      </c>
      <c r="G9" s="275">
        <f>G10+G12+G14+G16+G18+G20+G22+G24+G27+G29+G31+G33</f>
        <v>0</v>
      </c>
      <c r="H9" s="275">
        <f>H10+H12+H14+H16+H18+H20+H22+H24+H27+H29+H31+H33</f>
        <v>61399.727</v>
      </c>
      <c r="I9" s="275">
        <f>I10+I12+I14+I16+I18+I20+I22+I24+I27+I29+I31+I33</f>
        <v>3700</v>
      </c>
      <c r="J9" s="275">
        <f>J10+J12+J14+J16+J18+J20+J22+J24+J27+J29+J31+J33</f>
        <v>65099.727</v>
      </c>
    </row>
    <row r="10" spans="1:10" s="279" customFormat="1" ht="12.75">
      <c r="A10" s="353"/>
      <c r="B10" s="304" t="s">
        <v>5</v>
      </c>
      <c r="C10" s="276" t="s">
        <v>236</v>
      </c>
      <c r="D10" s="277" t="s">
        <v>3</v>
      </c>
      <c r="E10" s="277" t="s">
        <v>3</v>
      </c>
      <c r="F10" s="278" t="s">
        <v>237</v>
      </c>
      <c r="G10" s="39">
        <f>SUM(G11)</f>
        <v>0</v>
      </c>
      <c r="H10" s="39">
        <f>SUM(H11)</f>
        <v>957.906</v>
      </c>
      <c r="I10" s="296">
        <f>I11</f>
        <v>0</v>
      </c>
      <c r="J10" s="39">
        <f>SUM(J11)</f>
        <v>957.906</v>
      </c>
    </row>
    <row r="11" spans="1:10" s="279" customFormat="1" ht="13.5" thickBot="1">
      <c r="A11" s="353"/>
      <c r="B11" s="305"/>
      <c r="C11" s="280"/>
      <c r="D11" s="49">
        <v>2212</v>
      </c>
      <c r="E11" s="179">
        <v>6351</v>
      </c>
      <c r="F11" s="120" t="s">
        <v>238</v>
      </c>
      <c r="G11" s="281">
        <v>0</v>
      </c>
      <c r="H11" s="281">
        <v>957.906</v>
      </c>
      <c r="I11" s="298"/>
      <c r="J11" s="72">
        <f>H11+I11</f>
        <v>957.906</v>
      </c>
    </row>
    <row r="12" spans="1:10" s="279" customFormat="1" ht="12.75">
      <c r="A12" s="353"/>
      <c r="B12" s="304" t="s">
        <v>5</v>
      </c>
      <c r="C12" s="276" t="s">
        <v>239</v>
      </c>
      <c r="D12" s="282" t="s">
        <v>3</v>
      </c>
      <c r="E12" s="282" t="s">
        <v>3</v>
      </c>
      <c r="F12" s="47" t="s">
        <v>240</v>
      </c>
      <c r="G12" s="39">
        <f>SUM(G13)</f>
        <v>0</v>
      </c>
      <c r="H12" s="39">
        <f>SUM(H13)</f>
        <v>3000</v>
      </c>
      <c r="I12" s="296">
        <f>I13</f>
        <v>0</v>
      </c>
      <c r="J12" s="39">
        <f>SUM(J13)</f>
        <v>3000</v>
      </c>
    </row>
    <row r="13" spans="1:10" s="279" customFormat="1" ht="13.5" thickBot="1">
      <c r="A13" s="353"/>
      <c r="B13" s="305"/>
      <c r="C13" s="283"/>
      <c r="D13" s="49">
        <v>2212</v>
      </c>
      <c r="E13" s="119">
        <v>5331</v>
      </c>
      <c r="F13" s="120" t="s">
        <v>68</v>
      </c>
      <c r="G13" s="50">
        <v>0</v>
      </c>
      <c r="H13" s="50">
        <v>3000</v>
      </c>
      <c r="I13" s="298"/>
      <c r="J13" s="72">
        <f>H13+I13</f>
        <v>3000</v>
      </c>
    </row>
    <row r="14" spans="1:10" ht="12.75">
      <c r="A14" s="353"/>
      <c r="B14" s="304" t="s">
        <v>5</v>
      </c>
      <c r="C14" s="276" t="s">
        <v>241</v>
      </c>
      <c r="D14" s="277" t="s">
        <v>3</v>
      </c>
      <c r="E14" s="277" t="s">
        <v>3</v>
      </c>
      <c r="F14" s="278" t="s">
        <v>242</v>
      </c>
      <c r="G14" s="39">
        <f>SUM(G15)</f>
        <v>0</v>
      </c>
      <c r="H14" s="39">
        <f>SUM(H15)</f>
        <v>19885</v>
      </c>
      <c r="I14" s="296">
        <f>I15</f>
        <v>0</v>
      </c>
      <c r="J14" s="39">
        <f>SUM(J15)</f>
        <v>19885</v>
      </c>
    </row>
    <row r="15" spans="1:10" ht="13.5" thickBot="1">
      <c r="A15" s="353"/>
      <c r="B15" s="305"/>
      <c r="C15" s="280"/>
      <c r="D15" s="49">
        <v>2212</v>
      </c>
      <c r="E15" s="179">
        <v>6351</v>
      </c>
      <c r="F15" s="120" t="s">
        <v>238</v>
      </c>
      <c r="G15" s="281">
        <v>0</v>
      </c>
      <c r="H15" s="50">
        <v>19885</v>
      </c>
      <c r="I15" s="298"/>
      <c r="J15" s="72">
        <f>H15+I15</f>
        <v>19885</v>
      </c>
    </row>
    <row r="16" spans="1:10" ht="12.75">
      <c r="A16" s="353"/>
      <c r="B16" s="304" t="s">
        <v>5</v>
      </c>
      <c r="C16" s="276" t="s">
        <v>243</v>
      </c>
      <c r="D16" s="282" t="s">
        <v>3</v>
      </c>
      <c r="E16" s="282" t="s">
        <v>3</v>
      </c>
      <c r="F16" s="284" t="s">
        <v>244</v>
      </c>
      <c r="G16" s="39">
        <f>SUM(G17)</f>
        <v>0</v>
      </c>
      <c r="H16" s="39">
        <f>SUM(H17)</f>
        <v>146.877</v>
      </c>
      <c r="I16" s="296">
        <f>I17</f>
        <v>0</v>
      </c>
      <c r="J16" s="39">
        <f>SUM(J17)</f>
        <v>146.877</v>
      </c>
    </row>
    <row r="17" spans="1:10" ht="13.5" thickBot="1">
      <c r="A17" s="353"/>
      <c r="B17" s="305"/>
      <c r="C17" s="283"/>
      <c r="D17" s="49">
        <v>2299</v>
      </c>
      <c r="E17" s="119">
        <v>5331</v>
      </c>
      <c r="F17" s="120" t="s">
        <v>68</v>
      </c>
      <c r="G17" s="50">
        <v>0</v>
      </c>
      <c r="H17" s="50">
        <v>146.877</v>
      </c>
      <c r="I17" s="298"/>
      <c r="J17" s="72">
        <f>H17+I17</f>
        <v>146.877</v>
      </c>
    </row>
    <row r="18" spans="1:10" ht="12.75">
      <c r="A18" s="353"/>
      <c r="B18" s="304" t="s">
        <v>5</v>
      </c>
      <c r="C18" s="276" t="s">
        <v>245</v>
      </c>
      <c r="D18" s="277" t="s">
        <v>3</v>
      </c>
      <c r="E18" s="277" t="s">
        <v>3</v>
      </c>
      <c r="F18" s="278" t="s">
        <v>246</v>
      </c>
      <c r="G18" s="39">
        <f>SUM(G19)</f>
        <v>0</v>
      </c>
      <c r="H18" s="39">
        <f>SUM(H19)</f>
        <v>2035.989</v>
      </c>
      <c r="I18" s="296">
        <f>I19</f>
        <v>0</v>
      </c>
      <c r="J18" s="39">
        <f>SUM(J19)</f>
        <v>2035.989</v>
      </c>
    </row>
    <row r="19" spans="1:10" ht="13.5" thickBot="1">
      <c r="A19" s="353"/>
      <c r="B19" s="305"/>
      <c r="C19" s="280"/>
      <c r="D19" s="49">
        <v>2212</v>
      </c>
      <c r="E19" s="179">
        <v>6351</v>
      </c>
      <c r="F19" s="120" t="s">
        <v>238</v>
      </c>
      <c r="G19" s="281">
        <v>0</v>
      </c>
      <c r="H19" s="81">
        <v>2035.989</v>
      </c>
      <c r="I19" s="298"/>
      <c r="J19" s="72">
        <f>H19+I19</f>
        <v>2035.989</v>
      </c>
    </row>
    <row r="20" spans="1:10" ht="20.25">
      <c r="A20" s="353"/>
      <c r="B20" s="304" t="s">
        <v>5</v>
      </c>
      <c r="C20" s="276" t="s">
        <v>247</v>
      </c>
      <c r="D20" s="277" t="s">
        <v>3</v>
      </c>
      <c r="E20" s="277" t="s">
        <v>3</v>
      </c>
      <c r="F20" s="285" t="s">
        <v>248</v>
      </c>
      <c r="G20" s="39">
        <f>SUM(G21)</f>
        <v>0</v>
      </c>
      <c r="H20" s="39">
        <f>SUM(H21)</f>
        <v>811.305</v>
      </c>
      <c r="I20" s="296">
        <f>I21</f>
        <v>0</v>
      </c>
      <c r="J20" s="39">
        <f>SUM(J21)</f>
        <v>811.305</v>
      </c>
    </row>
    <row r="21" spans="1:10" ht="13.5" thickBot="1">
      <c r="A21" s="353"/>
      <c r="B21" s="305"/>
      <c r="C21" s="280"/>
      <c r="D21" s="49">
        <v>2212</v>
      </c>
      <c r="E21" s="119">
        <v>5331</v>
      </c>
      <c r="F21" s="120" t="s">
        <v>68</v>
      </c>
      <c r="G21" s="281">
        <v>0</v>
      </c>
      <c r="H21" s="72">
        <v>811.305</v>
      </c>
      <c r="I21" s="298"/>
      <c r="J21" s="72">
        <f>H21+I21</f>
        <v>811.305</v>
      </c>
    </row>
    <row r="22" spans="1:10" ht="12.75">
      <c r="A22" s="353"/>
      <c r="B22" s="304" t="s">
        <v>5</v>
      </c>
      <c r="C22" s="276" t="s">
        <v>249</v>
      </c>
      <c r="D22" s="277" t="s">
        <v>3</v>
      </c>
      <c r="E22" s="277" t="s">
        <v>3</v>
      </c>
      <c r="F22" s="285" t="s">
        <v>250</v>
      </c>
      <c r="G22" s="39">
        <f>SUM(G23)</f>
        <v>0</v>
      </c>
      <c r="H22" s="39">
        <f>SUM(H23)</f>
        <v>562.65</v>
      </c>
      <c r="I22" s="296">
        <f>I23</f>
        <v>0</v>
      </c>
      <c r="J22" s="39">
        <f>SUM(J23)</f>
        <v>562.65</v>
      </c>
    </row>
    <row r="23" spans="1:10" ht="13.5" thickBot="1">
      <c r="A23" s="353"/>
      <c r="B23" s="305"/>
      <c r="C23" s="280"/>
      <c r="D23" s="49">
        <v>2212</v>
      </c>
      <c r="E23" s="119">
        <v>5331</v>
      </c>
      <c r="F23" s="120" t="s">
        <v>68</v>
      </c>
      <c r="G23" s="281">
        <v>0</v>
      </c>
      <c r="H23" s="72">
        <v>562.65</v>
      </c>
      <c r="I23" s="298"/>
      <c r="J23" s="72">
        <f>H23+I23</f>
        <v>562.65</v>
      </c>
    </row>
    <row r="24" spans="1:10" ht="20.25">
      <c r="A24" s="353"/>
      <c r="B24" s="304" t="s">
        <v>5</v>
      </c>
      <c r="C24" s="276" t="s">
        <v>251</v>
      </c>
      <c r="D24" s="286" t="s">
        <v>3</v>
      </c>
      <c r="E24" s="287" t="s">
        <v>3</v>
      </c>
      <c r="F24" s="288" t="s">
        <v>252</v>
      </c>
      <c r="G24" s="39">
        <f>SUM(G25:G26)</f>
        <v>0</v>
      </c>
      <c r="H24" s="39">
        <f>SUM(H25:H26)</f>
        <v>16000</v>
      </c>
      <c r="I24" s="39">
        <f>SUM(I25:I26)</f>
        <v>0</v>
      </c>
      <c r="J24" s="39">
        <f>SUM(J25:J26)</f>
        <v>16000</v>
      </c>
    </row>
    <row r="25" spans="1:10" ht="12.75">
      <c r="A25" s="353"/>
      <c r="B25" s="306"/>
      <c r="C25" s="289"/>
      <c r="D25" s="290">
        <v>2212</v>
      </c>
      <c r="E25" s="183">
        <v>5331</v>
      </c>
      <c r="F25" s="291" t="s">
        <v>253</v>
      </c>
      <c r="G25" s="292">
        <v>0</v>
      </c>
      <c r="H25" s="292">
        <v>5000</v>
      </c>
      <c r="I25" s="292"/>
      <c r="J25" s="45">
        <f>H25+I25</f>
        <v>5000</v>
      </c>
    </row>
    <row r="26" spans="1:10" ht="13.5" thickBot="1">
      <c r="A26" s="353"/>
      <c r="B26" s="305"/>
      <c r="C26" s="280"/>
      <c r="D26" s="293">
        <v>2212</v>
      </c>
      <c r="E26" s="176">
        <v>6351</v>
      </c>
      <c r="F26" s="294" t="s">
        <v>254</v>
      </c>
      <c r="G26" s="295">
        <v>0</v>
      </c>
      <c r="H26" s="295">
        <v>11000</v>
      </c>
      <c r="I26" s="295"/>
      <c r="J26" s="72">
        <f>H26+I26</f>
        <v>11000</v>
      </c>
    </row>
    <row r="27" spans="1:10" ht="12.75">
      <c r="A27" s="353"/>
      <c r="B27" s="304" t="s">
        <v>5</v>
      </c>
      <c r="C27" s="276" t="s">
        <v>255</v>
      </c>
      <c r="D27" s="286" t="s">
        <v>3</v>
      </c>
      <c r="E27" s="287" t="s">
        <v>3</v>
      </c>
      <c r="F27" s="288" t="s">
        <v>256</v>
      </c>
      <c r="G27" s="296">
        <f>G28</f>
        <v>0</v>
      </c>
      <c r="H27" s="296">
        <f>H28</f>
        <v>10000</v>
      </c>
      <c r="I27" s="296">
        <f>I28</f>
        <v>1200</v>
      </c>
      <c r="J27" s="296">
        <f>J28</f>
        <v>11200</v>
      </c>
    </row>
    <row r="28" spans="1:10" ht="13.5" thickBot="1">
      <c r="A28" s="353"/>
      <c r="B28" s="305"/>
      <c r="C28" s="280"/>
      <c r="D28" s="293">
        <v>2299</v>
      </c>
      <c r="E28" s="119">
        <v>5331</v>
      </c>
      <c r="F28" s="297" t="s">
        <v>253</v>
      </c>
      <c r="G28" s="298">
        <v>0</v>
      </c>
      <c r="H28" s="298">
        <v>10000</v>
      </c>
      <c r="I28" s="298">
        <v>1200</v>
      </c>
      <c r="J28" s="72">
        <f>H28+I28</f>
        <v>11200</v>
      </c>
    </row>
    <row r="29" spans="1:10" ht="12.75">
      <c r="A29" s="353"/>
      <c r="B29" s="304" t="s">
        <v>5</v>
      </c>
      <c r="C29" s="276" t="s">
        <v>259</v>
      </c>
      <c r="D29" s="286" t="s">
        <v>3</v>
      </c>
      <c r="E29" s="287" t="s">
        <v>3</v>
      </c>
      <c r="F29" s="288" t="s">
        <v>260</v>
      </c>
      <c r="G29" s="296">
        <f>G30</f>
        <v>0</v>
      </c>
      <c r="H29" s="296">
        <f>H30</f>
        <v>8000</v>
      </c>
      <c r="I29" s="296">
        <f>I30</f>
        <v>0</v>
      </c>
      <c r="J29" s="296">
        <f>J30</f>
        <v>8000</v>
      </c>
    </row>
    <row r="30" spans="1:10" ht="13.5" thickBot="1">
      <c r="A30" s="353"/>
      <c r="B30" s="305"/>
      <c r="C30" s="280"/>
      <c r="D30" s="293">
        <v>2299</v>
      </c>
      <c r="E30" s="176">
        <v>6351</v>
      </c>
      <c r="F30" s="294" t="s">
        <v>254</v>
      </c>
      <c r="G30" s="298">
        <v>0</v>
      </c>
      <c r="H30" s="298">
        <v>8000</v>
      </c>
      <c r="I30" s="298"/>
      <c r="J30" s="72">
        <f>H30+I30</f>
        <v>8000</v>
      </c>
    </row>
    <row r="31" spans="1:10" ht="12.75">
      <c r="A31" s="353"/>
      <c r="B31" s="304" t="s">
        <v>5</v>
      </c>
      <c r="C31" s="276" t="s">
        <v>261</v>
      </c>
      <c r="D31" s="286" t="s">
        <v>3</v>
      </c>
      <c r="E31" s="287" t="s">
        <v>3</v>
      </c>
      <c r="F31" s="288" t="s">
        <v>262</v>
      </c>
      <c r="G31" s="296">
        <f>G32</f>
        <v>0</v>
      </c>
      <c r="H31" s="296">
        <f>H32</f>
        <v>0</v>
      </c>
      <c r="I31" s="296">
        <f>I32</f>
        <v>1500</v>
      </c>
      <c r="J31" s="296">
        <f>J32</f>
        <v>1500</v>
      </c>
    </row>
    <row r="32" spans="1:10" ht="13.5" thickBot="1">
      <c r="A32" s="353"/>
      <c r="B32" s="305"/>
      <c r="C32" s="280"/>
      <c r="D32" s="293">
        <v>2212</v>
      </c>
      <c r="E32" s="176">
        <v>6351</v>
      </c>
      <c r="F32" s="294" t="s">
        <v>254</v>
      </c>
      <c r="G32" s="298">
        <v>0</v>
      </c>
      <c r="H32" s="298">
        <v>0</v>
      </c>
      <c r="I32" s="298">
        <v>1500</v>
      </c>
      <c r="J32" s="72">
        <f>H32+I32</f>
        <v>1500</v>
      </c>
    </row>
    <row r="33" spans="1:10" ht="12.75">
      <c r="A33" s="353"/>
      <c r="B33" s="103" t="s">
        <v>5</v>
      </c>
      <c r="C33" s="113" t="s">
        <v>66</v>
      </c>
      <c r="D33" s="114" t="s">
        <v>3</v>
      </c>
      <c r="E33" s="114" t="s">
        <v>3</v>
      </c>
      <c r="F33" s="115" t="s">
        <v>67</v>
      </c>
      <c r="G33" s="296">
        <f>G34</f>
        <v>0</v>
      </c>
      <c r="H33" s="296">
        <f>H34</f>
        <v>0</v>
      </c>
      <c r="I33" s="296">
        <f>I34</f>
        <v>1000</v>
      </c>
      <c r="J33" s="296">
        <f>J34</f>
        <v>1000</v>
      </c>
    </row>
    <row r="34" spans="1:10" ht="13.5" thickBot="1">
      <c r="A34" s="354"/>
      <c r="B34" s="116"/>
      <c r="C34" s="117"/>
      <c r="D34" s="118">
        <v>2212</v>
      </c>
      <c r="E34" s="119">
        <v>5331</v>
      </c>
      <c r="F34" s="120" t="s">
        <v>68</v>
      </c>
      <c r="G34" s="298">
        <v>0</v>
      </c>
      <c r="H34" s="298">
        <v>0</v>
      </c>
      <c r="I34" s="298">
        <v>1000</v>
      </c>
      <c r="J34" s="72">
        <f>H34+I34</f>
        <v>1000</v>
      </c>
    </row>
  </sheetData>
  <sheetProtection/>
  <mergeCells count="13">
    <mergeCell ref="A1:J1"/>
    <mergeCell ref="A3:J3"/>
    <mergeCell ref="A5:J5"/>
    <mergeCell ref="A7:A8"/>
    <mergeCell ref="B7:B8"/>
    <mergeCell ref="C7:C8"/>
    <mergeCell ref="D7:D8"/>
    <mergeCell ref="E7:E8"/>
    <mergeCell ref="F7:F8"/>
    <mergeCell ref="G7:G8"/>
    <mergeCell ref="H7:H8"/>
    <mergeCell ref="I7:J7"/>
    <mergeCell ref="A9:A34"/>
  </mergeCells>
  <printOptions horizontalCentered="1"/>
  <pageMargins left="0.1968503937007874" right="0.1968503937007874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&amp;R&amp;F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L172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3.8515625" style="1" customWidth="1"/>
    <col min="2" max="2" width="3.421875" style="1" bestFit="1" customWidth="1"/>
    <col min="3" max="3" width="10.00390625" style="1" bestFit="1" customWidth="1"/>
    <col min="4" max="4" width="5.57421875" style="1" customWidth="1"/>
    <col min="5" max="5" width="5.7109375" style="1" customWidth="1"/>
    <col min="6" max="6" width="41.28125" style="1" customWidth="1"/>
    <col min="7" max="7" width="8.421875" style="1" customWidth="1"/>
    <col min="8" max="8" width="8.140625" style="1" customWidth="1"/>
    <col min="9" max="9" width="9.7109375" style="1" customWidth="1"/>
    <col min="10" max="11" width="9.140625" style="1" customWidth="1"/>
    <col min="12" max="12" width="9.7109375" style="1" bestFit="1" customWidth="1"/>
    <col min="13" max="16384" width="9.140625" style="1" customWidth="1"/>
  </cols>
  <sheetData>
    <row r="1" spans="1:10" ht="17.25">
      <c r="A1" s="355" t="s">
        <v>257</v>
      </c>
      <c r="B1" s="355"/>
      <c r="C1" s="355"/>
      <c r="D1" s="355"/>
      <c r="E1" s="355"/>
      <c r="F1" s="355"/>
      <c r="G1" s="355"/>
      <c r="H1" s="355"/>
      <c r="I1" s="355"/>
      <c r="J1" s="355"/>
    </row>
    <row r="3" spans="1:10" ht="15">
      <c r="A3" s="367" t="s">
        <v>57</v>
      </c>
      <c r="B3" s="367"/>
      <c r="C3" s="367"/>
      <c r="D3" s="367"/>
      <c r="E3" s="367"/>
      <c r="F3" s="367"/>
      <c r="G3" s="367"/>
      <c r="H3" s="367"/>
      <c r="I3" s="367"/>
      <c r="J3" s="367"/>
    </row>
    <row r="4" spans="1:10" ht="12.75">
      <c r="A4" s="82"/>
      <c r="B4" s="82"/>
      <c r="C4" s="82"/>
      <c r="D4" s="82"/>
      <c r="E4" s="82"/>
      <c r="F4" s="82"/>
      <c r="G4" s="82"/>
      <c r="H4" s="82"/>
      <c r="I4" s="82"/>
      <c r="J4" s="83"/>
    </row>
    <row r="5" spans="1:10" ht="15">
      <c r="A5" s="357" t="s">
        <v>36</v>
      </c>
      <c r="B5" s="357"/>
      <c r="C5" s="357"/>
      <c r="D5" s="357"/>
      <c r="E5" s="357"/>
      <c r="F5" s="357"/>
      <c r="G5" s="357"/>
      <c r="H5" s="357"/>
      <c r="I5" s="357"/>
      <c r="J5" s="357"/>
    </row>
    <row r="6" spans="1:10" ht="13.5" thickBot="1">
      <c r="A6" s="84"/>
      <c r="B6" s="84"/>
      <c r="C6" s="84"/>
      <c r="D6" s="84"/>
      <c r="E6" s="84"/>
      <c r="F6" s="84"/>
      <c r="G6" s="84"/>
      <c r="H6" s="84"/>
      <c r="I6" s="84"/>
      <c r="J6" s="85" t="s">
        <v>35</v>
      </c>
    </row>
    <row r="7" spans="1:10" ht="12.75" customHeight="1" thickBot="1">
      <c r="A7" s="368" t="s">
        <v>58</v>
      </c>
      <c r="B7" s="368" t="s">
        <v>4</v>
      </c>
      <c r="C7" s="371" t="s">
        <v>6</v>
      </c>
      <c r="D7" s="371" t="s">
        <v>7</v>
      </c>
      <c r="E7" s="371" t="s">
        <v>8</v>
      </c>
      <c r="F7" s="373" t="s">
        <v>59</v>
      </c>
      <c r="G7" s="375" t="s">
        <v>122</v>
      </c>
      <c r="H7" s="362" t="s">
        <v>123</v>
      </c>
      <c r="I7" s="350" t="s">
        <v>308</v>
      </c>
      <c r="J7" s="351"/>
    </row>
    <row r="8" spans="1:10" ht="12.75" customHeight="1" thickBot="1">
      <c r="A8" s="369"/>
      <c r="B8" s="370"/>
      <c r="C8" s="372"/>
      <c r="D8" s="372"/>
      <c r="E8" s="372"/>
      <c r="F8" s="374"/>
      <c r="G8" s="376"/>
      <c r="H8" s="363"/>
      <c r="I8" s="42" t="s">
        <v>22</v>
      </c>
      <c r="J8" s="43" t="s">
        <v>124</v>
      </c>
    </row>
    <row r="9" spans="1:11" ht="12.75" customHeight="1" thickBot="1">
      <c r="A9" s="86">
        <v>920</v>
      </c>
      <c r="B9" s="87" t="s">
        <v>5</v>
      </c>
      <c r="C9" s="88" t="s">
        <v>6</v>
      </c>
      <c r="D9" s="89" t="s">
        <v>7</v>
      </c>
      <c r="E9" s="89" t="s">
        <v>8</v>
      </c>
      <c r="F9" s="90" t="s">
        <v>60</v>
      </c>
      <c r="G9" s="91">
        <f>G10+G12+G14+G16+G18+G20+G22+G31+G103</f>
        <v>104000</v>
      </c>
      <c r="H9" s="91">
        <f>H10+H12+H14+H16+H18+H20+H22+H31+H103</f>
        <v>369169.051</v>
      </c>
      <c r="I9" s="91">
        <f>I10+I12+I14+I16+I18+I20+I22+I31+I103</f>
        <v>-1000</v>
      </c>
      <c r="J9" s="44">
        <f>J10+J12+J14+J16+J18+J20+J22+J31+J103</f>
        <v>368169.051</v>
      </c>
      <c r="K9" s="168"/>
    </row>
    <row r="10" spans="1:10" ht="12.75" customHeight="1">
      <c r="A10" s="364" t="s">
        <v>33</v>
      </c>
      <c r="B10" s="92" t="s">
        <v>5</v>
      </c>
      <c r="C10" s="93" t="s">
        <v>61</v>
      </c>
      <c r="D10" s="94" t="s">
        <v>3</v>
      </c>
      <c r="E10" s="94" t="s">
        <v>3</v>
      </c>
      <c r="F10" s="95" t="s">
        <v>62</v>
      </c>
      <c r="G10" s="38">
        <f>SUM(G11:G11)</f>
        <v>3000</v>
      </c>
      <c r="H10" s="96">
        <f>SUM(H11:H11)</f>
        <v>3000</v>
      </c>
      <c r="I10" s="38">
        <f>SUM(I11:I11)</f>
        <v>0</v>
      </c>
      <c r="J10" s="38">
        <f>SUM(J11:J11)</f>
        <v>3000</v>
      </c>
    </row>
    <row r="11" spans="1:10" ht="12.75" customHeight="1" thickBot="1">
      <c r="A11" s="365"/>
      <c r="B11" s="97"/>
      <c r="C11" s="98"/>
      <c r="D11" s="99">
        <v>2212</v>
      </c>
      <c r="E11" s="99">
        <v>6130</v>
      </c>
      <c r="F11" s="100" t="s">
        <v>63</v>
      </c>
      <c r="G11" s="101">
        <v>3000</v>
      </c>
      <c r="H11" s="102">
        <v>3000</v>
      </c>
      <c r="I11" s="101"/>
      <c r="J11" s="101">
        <f>H11+I11</f>
        <v>3000</v>
      </c>
    </row>
    <row r="12" spans="1:11" ht="14.25" customHeight="1">
      <c r="A12" s="365"/>
      <c r="B12" s="103" t="s">
        <v>5</v>
      </c>
      <c r="C12" s="113" t="s">
        <v>66</v>
      </c>
      <c r="D12" s="114" t="s">
        <v>3</v>
      </c>
      <c r="E12" s="114" t="s">
        <v>3</v>
      </c>
      <c r="F12" s="115" t="s">
        <v>67</v>
      </c>
      <c r="G12" s="96">
        <f>SUM(G13:G13)</f>
        <v>1000</v>
      </c>
      <c r="H12" s="96">
        <f>SUM(H13:H13)</f>
        <v>1000</v>
      </c>
      <c r="I12" s="38">
        <f>SUM(I13:I13)</f>
        <v>-1000</v>
      </c>
      <c r="J12" s="38">
        <f>J13</f>
        <v>0</v>
      </c>
      <c r="K12" s="169"/>
    </row>
    <row r="13" spans="1:10" ht="14.25" customHeight="1" thickBot="1">
      <c r="A13" s="365"/>
      <c r="B13" s="116"/>
      <c r="C13" s="117"/>
      <c r="D13" s="118">
        <v>2212</v>
      </c>
      <c r="E13" s="119">
        <v>5331</v>
      </c>
      <c r="F13" s="120" t="s">
        <v>68</v>
      </c>
      <c r="G13" s="101">
        <v>1000</v>
      </c>
      <c r="H13" s="102">
        <v>1000</v>
      </c>
      <c r="I13" s="101">
        <v>-1000</v>
      </c>
      <c r="J13" s="101">
        <f>H13+I13</f>
        <v>0</v>
      </c>
    </row>
    <row r="14" spans="1:10" ht="12" customHeight="1">
      <c r="A14" s="365"/>
      <c r="B14" s="103" t="s">
        <v>5</v>
      </c>
      <c r="C14" s="104" t="s">
        <v>69</v>
      </c>
      <c r="D14" s="105" t="s">
        <v>3</v>
      </c>
      <c r="E14" s="105" t="s">
        <v>3</v>
      </c>
      <c r="F14" s="46" t="s">
        <v>70</v>
      </c>
      <c r="G14" s="96">
        <f>SUM(G15:G15)</f>
        <v>15566</v>
      </c>
      <c r="H14" s="96">
        <f>SUM(H15:H15)</f>
        <v>101753.349</v>
      </c>
      <c r="I14" s="39">
        <f>SUM(I15:I15)</f>
        <v>0</v>
      </c>
      <c r="J14" s="39">
        <f>SUM(J15:J15)</f>
        <v>101753.349</v>
      </c>
    </row>
    <row r="15" spans="1:10" ht="12" customHeight="1" thickBot="1">
      <c r="A15" s="365"/>
      <c r="B15" s="107"/>
      <c r="C15" s="108"/>
      <c r="D15" s="109">
        <v>2212</v>
      </c>
      <c r="E15" s="109">
        <v>5901</v>
      </c>
      <c r="F15" s="121" t="s">
        <v>71</v>
      </c>
      <c r="G15" s="101">
        <v>15566</v>
      </c>
      <c r="H15" s="101">
        <f>15566+116897-267.579-8578.993-29366.02+13200-565.404-1131.655-4000</f>
        <v>101753.349</v>
      </c>
      <c r="I15" s="101"/>
      <c r="J15" s="45">
        <f>H15+I15</f>
        <v>101753.349</v>
      </c>
    </row>
    <row r="16" spans="1:10" ht="20.25">
      <c r="A16" s="365"/>
      <c r="B16" s="129" t="s">
        <v>5</v>
      </c>
      <c r="C16" s="113" t="s">
        <v>125</v>
      </c>
      <c r="D16" s="130" t="s">
        <v>3</v>
      </c>
      <c r="E16" s="130" t="s">
        <v>3</v>
      </c>
      <c r="F16" s="115" t="s">
        <v>126</v>
      </c>
      <c r="G16" s="39">
        <f>SUM(G17:G17)</f>
        <v>0</v>
      </c>
      <c r="H16" s="39">
        <f>SUM(H17:H17)</f>
        <v>118.58</v>
      </c>
      <c r="I16" s="39">
        <f>SUM(I17:I17)</f>
        <v>0</v>
      </c>
      <c r="J16" s="39">
        <f>SUM(J17:J17)</f>
        <v>118.58</v>
      </c>
    </row>
    <row r="17" spans="1:10" ht="12" customHeight="1" thickBot="1">
      <c r="A17" s="365"/>
      <c r="B17" s="135"/>
      <c r="C17" s="142"/>
      <c r="D17" s="136">
        <v>2212</v>
      </c>
      <c r="E17" s="136">
        <v>6121</v>
      </c>
      <c r="F17" s="112" t="s">
        <v>65</v>
      </c>
      <c r="G17" s="50">
        <v>0</v>
      </c>
      <c r="H17" s="101">
        <v>118.58</v>
      </c>
      <c r="I17" s="101"/>
      <c r="J17" s="45">
        <f>H17+I17</f>
        <v>118.58</v>
      </c>
    </row>
    <row r="18" spans="1:10" ht="12" customHeight="1">
      <c r="A18" s="365"/>
      <c r="B18" s="129" t="s">
        <v>5</v>
      </c>
      <c r="C18" s="113" t="s">
        <v>263</v>
      </c>
      <c r="D18" s="130" t="s">
        <v>3</v>
      </c>
      <c r="E18" s="130" t="s">
        <v>3</v>
      </c>
      <c r="F18" s="46" t="s">
        <v>127</v>
      </c>
      <c r="G18" s="170">
        <f>SUM(G19:G19)</f>
        <v>0</v>
      </c>
      <c r="H18" s="39">
        <f>SUM(H19:H19)</f>
        <v>5000</v>
      </c>
      <c r="I18" s="39">
        <f>SUM(I19:I19)</f>
        <v>0</v>
      </c>
      <c r="J18" s="39">
        <f>SUM(J19:J19)</f>
        <v>5000</v>
      </c>
    </row>
    <row r="19" spans="1:10" ht="12" customHeight="1" thickBot="1">
      <c r="A19" s="365"/>
      <c r="B19" s="135"/>
      <c r="C19" s="142"/>
      <c r="D19" s="171">
        <v>2219</v>
      </c>
      <c r="E19" s="172">
        <v>5901</v>
      </c>
      <c r="F19" s="173" t="s">
        <v>71</v>
      </c>
      <c r="G19" s="81">
        <v>0</v>
      </c>
      <c r="H19" s="81">
        <v>5000</v>
      </c>
      <c r="I19" s="101"/>
      <c r="J19" s="45">
        <f>H19+I19</f>
        <v>5000</v>
      </c>
    </row>
    <row r="20" spans="1:10" ht="12" customHeight="1">
      <c r="A20" s="365"/>
      <c r="B20" s="129" t="s">
        <v>5</v>
      </c>
      <c r="C20" s="113" t="s">
        <v>264</v>
      </c>
      <c r="D20" s="130" t="s">
        <v>3</v>
      </c>
      <c r="E20" s="130" t="s">
        <v>3</v>
      </c>
      <c r="F20" s="46" t="s">
        <v>265</v>
      </c>
      <c r="G20" s="170">
        <f>SUM(G21:G21)</f>
        <v>0</v>
      </c>
      <c r="H20" s="39">
        <f>SUM(H21:H21)</f>
        <v>30000</v>
      </c>
      <c r="I20" s="39">
        <f>SUM(I21:I21)</f>
        <v>0</v>
      </c>
      <c r="J20" s="39">
        <f>SUM(J21:J21)</f>
        <v>30000</v>
      </c>
    </row>
    <row r="21" spans="1:10" ht="12" customHeight="1" thickBot="1">
      <c r="A21" s="365"/>
      <c r="B21" s="174"/>
      <c r="C21" s="299"/>
      <c r="D21" s="171">
        <v>2219</v>
      </c>
      <c r="E21" s="176">
        <v>6901</v>
      </c>
      <c r="F21" s="121" t="s">
        <v>171</v>
      </c>
      <c r="G21" s="50">
        <v>0</v>
      </c>
      <c r="H21" s="50">
        <v>30000</v>
      </c>
      <c r="I21" s="72"/>
      <c r="J21" s="45">
        <f>H21+I21</f>
        <v>30000</v>
      </c>
    </row>
    <row r="22" spans="1:12" ht="13.5" thickBot="1">
      <c r="A22" s="365"/>
      <c r="B22" s="123" t="s">
        <v>5</v>
      </c>
      <c r="C22" s="124" t="s">
        <v>3</v>
      </c>
      <c r="D22" s="125" t="s">
        <v>3</v>
      </c>
      <c r="E22" s="125" t="s">
        <v>3</v>
      </c>
      <c r="F22" s="126" t="s">
        <v>72</v>
      </c>
      <c r="G22" s="127">
        <f>G23+G25+G27+G29</f>
        <v>0</v>
      </c>
      <c r="H22" s="127">
        <f>H23+H25+H27+H29</f>
        <v>592.233</v>
      </c>
      <c r="I22" s="127">
        <f>I23+I25+I27+I29</f>
        <v>0</v>
      </c>
      <c r="J22" s="127">
        <f>J23+J25+J27+J29</f>
        <v>592.233</v>
      </c>
      <c r="L22" s="128"/>
    </row>
    <row r="23" spans="1:10" ht="12.75" customHeight="1">
      <c r="A23" s="365"/>
      <c r="B23" s="129" t="s">
        <v>5</v>
      </c>
      <c r="C23" s="113" t="s">
        <v>76</v>
      </c>
      <c r="D23" s="130" t="s">
        <v>3</v>
      </c>
      <c r="E23" s="130" t="s">
        <v>3</v>
      </c>
      <c r="F23" s="47" t="s">
        <v>77</v>
      </c>
      <c r="G23" s="39">
        <f>SUM(G24:G24)</f>
        <v>0</v>
      </c>
      <c r="H23" s="39">
        <f>SUM(H24:H24)</f>
        <v>505.78</v>
      </c>
      <c r="I23" s="39">
        <f>SUM(I24:I24)</f>
        <v>0</v>
      </c>
      <c r="J23" s="39">
        <f>SUM(J24:J24)</f>
        <v>505.78</v>
      </c>
    </row>
    <row r="24" spans="1:10" ht="12.75" customHeight="1" thickBot="1">
      <c r="A24" s="365"/>
      <c r="B24" s="131"/>
      <c r="C24" s="132"/>
      <c r="D24" s="133">
        <v>2212</v>
      </c>
      <c r="E24" s="133">
        <v>5169</v>
      </c>
      <c r="F24" s="134" t="s">
        <v>37</v>
      </c>
      <c r="G24" s="50">
        <v>0</v>
      </c>
      <c r="H24" s="101">
        <v>505.78</v>
      </c>
      <c r="I24" s="101"/>
      <c r="J24" s="101">
        <f>H24+I24</f>
        <v>505.78</v>
      </c>
    </row>
    <row r="25" spans="1:10" ht="12.75" customHeight="1">
      <c r="A25" s="365"/>
      <c r="B25" s="129" t="s">
        <v>5</v>
      </c>
      <c r="C25" s="113" t="s">
        <v>87</v>
      </c>
      <c r="D25" s="105" t="s">
        <v>3</v>
      </c>
      <c r="E25" s="105" t="s">
        <v>3</v>
      </c>
      <c r="F25" s="106" t="s">
        <v>88</v>
      </c>
      <c r="G25" s="38">
        <f>SUM(G26:G26)</f>
        <v>0</v>
      </c>
      <c r="H25" s="38">
        <f>SUM(H26:H26)</f>
        <v>18.15</v>
      </c>
      <c r="I25" s="39">
        <f>SUM(I26:I26)</f>
        <v>0</v>
      </c>
      <c r="J25" s="38">
        <f>SUM(J26:J26)</f>
        <v>18.15</v>
      </c>
    </row>
    <row r="26" spans="1:10" ht="12.75" customHeight="1" thickBot="1">
      <c r="A26" s="365"/>
      <c r="B26" s="107"/>
      <c r="C26" s="108"/>
      <c r="D26" s="136">
        <v>2212</v>
      </c>
      <c r="E26" s="109">
        <v>6121</v>
      </c>
      <c r="F26" s="110" t="s">
        <v>64</v>
      </c>
      <c r="G26" s="45">
        <v>0</v>
      </c>
      <c r="H26" s="45">
        <v>18.15</v>
      </c>
      <c r="I26" s="101"/>
      <c r="J26" s="45">
        <f>H26+I26</f>
        <v>18.15</v>
      </c>
    </row>
    <row r="27" spans="1:10" ht="12.75" customHeight="1">
      <c r="A27" s="365"/>
      <c r="B27" s="129" t="s">
        <v>5</v>
      </c>
      <c r="C27" s="113" t="s">
        <v>89</v>
      </c>
      <c r="D27" s="130" t="s">
        <v>3</v>
      </c>
      <c r="E27" s="130" t="s">
        <v>3</v>
      </c>
      <c r="F27" s="47" t="s">
        <v>90</v>
      </c>
      <c r="G27" s="38">
        <f>SUM(G28:G28)</f>
        <v>0</v>
      </c>
      <c r="H27" s="38">
        <f>SUM(H28:H28)</f>
        <v>38.115</v>
      </c>
      <c r="I27" s="39">
        <f>SUM(I28:I28)</f>
        <v>0</v>
      </c>
      <c r="J27" s="38">
        <f>SUM(J28:J28)</f>
        <v>38.115</v>
      </c>
    </row>
    <row r="28" spans="1:10" ht="12.75" customHeight="1" thickBot="1">
      <c r="A28" s="365"/>
      <c r="B28" s="135"/>
      <c r="C28" s="108"/>
      <c r="D28" s="136">
        <v>2212</v>
      </c>
      <c r="E28" s="109">
        <v>6121</v>
      </c>
      <c r="F28" s="110" t="s">
        <v>64</v>
      </c>
      <c r="G28" s="138">
        <v>0</v>
      </c>
      <c r="H28" s="45">
        <v>38.115</v>
      </c>
      <c r="I28" s="101"/>
      <c r="J28" s="45">
        <f>H28+I28</f>
        <v>38.115</v>
      </c>
    </row>
    <row r="29" spans="1:10" ht="12.75" customHeight="1">
      <c r="A29" s="365"/>
      <c r="B29" s="129" t="s">
        <v>5</v>
      </c>
      <c r="C29" s="113" t="s">
        <v>91</v>
      </c>
      <c r="D29" s="130" t="s">
        <v>3</v>
      </c>
      <c r="E29" s="130" t="s">
        <v>3</v>
      </c>
      <c r="F29" s="47" t="s">
        <v>92</v>
      </c>
      <c r="G29" s="38">
        <f>SUM(G30:G30)</f>
        <v>0</v>
      </c>
      <c r="H29" s="38">
        <f>SUM(H30:H30)</f>
        <v>30.188</v>
      </c>
      <c r="I29" s="39">
        <f>SUM(I30:I30)</f>
        <v>0</v>
      </c>
      <c r="J29" s="38">
        <f>SUM(J30:J30)</f>
        <v>30.188</v>
      </c>
    </row>
    <row r="30" spans="1:11" ht="12.75" customHeight="1" thickBot="1">
      <c r="A30" s="365"/>
      <c r="B30" s="135"/>
      <c r="C30" s="142"/>
      <c r="D30" s="136">
        <v>2212</v>
      </c>
      <c r="E30" s="136">
        <v>6121</v>
      </c>
      <c r="F30" s="110" t="s">
        <v>64</v>
      </c>
      <c r="G30" s="138">
        <v>0</v>
      </c>
      <c r="H30" s="45">
        <v>30.188</v>
      </c>
      <c r="I30" s="101"/>
      <c r="J30" s="45">
        <f>H30+I30</f>
        <v>30.188</v>
      </c>
      <c r="K30" s="128"/>
    </row>
    <row r="31" spans="1:12" ht="13.5" thickBot="1">
      <c r="A31" s="365"/>
      <c r="B31" s="123" t="s">
        <v>5</v>
      </c>
      <c r="C31" s="124" t="s">
        <v>3</v>
      </c>
      <c r="D31" s="125" t="s">
        <v>3</v>
      </c>
      <c r="E31" s="125" t="s">
        <v>3</v>
      </c>
      <c r="F31" s="126" t="s">
        <v>93</v>
      </c>
      <c r="G31" s="127">
        <f>G32+G35+G37+G39+G41+G43+G45+G47+G49+G51+G53+G55+G57+G59+G61+G63+G65+G67+G69+G71+G74+G76+G78+G80+G82+G85+G87+G89+G92+G94+G96+G98+G101</f>
        <v>0</v>
      </c>
      <c r="H31" s="127">
        <f>H32+H35+H37+H39+H41+H43+H45+H47+H49+H51+H53+H55+H57+H59+H61+H63+H65+H67+H69+H71+H74+H76+H78+H80+H82+H85+H87+H89+H92+H94+H96+H98+H101</f>
        <v>82541.15</v>
      </c>
      <c r="I31" s="127">
        <f>I32+I35+I37+I39+I41+I43+I45+I47+I49+I51+I53+I55+I57+I59+I61+I63+I65+I67+I69+I71+I74+I76+I78+I80+I82+I85+I87+I89+I92+I94+I96+I98+I101</f>
        <v>0</v>
      </c>
      <c r="J31" s="127">
        <f>J32+J35+J37+J39+J41+J43+J45+J47+J49+J51+J53+J55+J57+J59+J61+J63+J65+J67+J69+J71+J74+J76+J78+J80+J82+J85+J87+J89+J92+J94+J96+J98+J101</f>
        <v>82541.15</v>
      </c>
      <c r="L31" s="128"/>
    </row>
    <row r="32" spans="1:10" ht="12.75" hidden="1">
      <c r="A32" s="365"/>
      <c r="B32" s="129" t="s">
        <v>5</v>
      </c>
      <c r="C32" s="113" t="s">
        <v>78</v>
      </c>
      <c r="D32" s="130" t="s">
        <v>3</v>
      </c>
      <c r="E32" s="130" t="s">
        <v>3</v>
      </c>
      <c r="F32" s="47" t="s">
        <v>79</v>
      </c>
      <c r="G32" s="39">
        <f>SUM(G33:G34)</f>
        <v>0</v>
      </c>
      <c r="H32" s="39">
        <f>SUM(H33:H34)</f>
        <v>17658.558</v>
      </c>
      <c r="I32" s="39">
        <f>SUM(I33:I34)</f>
        <v>0</v>
      </c>
      <c r="J32" s="39">
        <f>SUM(J33:J34)</f>
        <v>17658.558</v>
      </c>
    </row>
    <row r="33" spans="1:10" ht="12.75" hidden="1">
      <c r="A33" s="365"/>
      <c r="B33" s="135"/>
      <c r="C33" s="142"/>
      <c r="D33" s="136">
        <v>2212</v>
      </c>
      <c r="E33" s="136">
        <v>5169</v>
      </c>
      <c r="F33" s="137" t="s">
        <v>37</v>
      </c>
      <c r="G33" s="138">
        <v>0</v>
      </c>
      <c r="H33" s="138">
        <v>48.4</v>
      </c>
      <c r="I33" s="45"/>
      <c r="J33" s="45">
        <f>H33+I33</f>
        <v>48.4</v>
      </c>
    </row>
    <row r="34" spans="1:10" ht="13.5" hidden="1" thickBot="1">
      <c r="A34" s="365"/>
      <c r="B34" s="174"/>
      <c r="C34" s="175"/>
      <c r="D34" s="118">
        <v>2212</v>
      </c>
      <c r="E34" s="176">
        <v>5171</v>
      </c>
      <c r="F34" s="177" t="s">
        <v>86</v>
      </c>
      <c r="G34" s="50">
        <v>0</v>
      </c>
      <c r="H34" s="72">
        <v>17610.158</v>
      </c>
      <c r="I34" s="72"/>
      <c r="J34" s="72">
        <f>H34+I34</f>
        <v>17610.158</v>
      </c>
    </row>
    <row r="35" spans="1:10" ht="12.75" customHeight="1" hidden="1">
      <c r="A35" s="365"/>
      <c r="B35" s="129" t="s">
        <v>5</v>
      </c>
      <c r="C35" s="113" t="s">
        <v>82</v>
      </c>
      <c r="D35" s="130" t="s">
        <v>3</v>
      </c>
      <c r="E35" s="130" t="s">
        <v>3</v>
      </c>
      <c r="F35" s="47" t="s">
        <v>83</v>
      </c>
      <c r="G35" s="39">
        <f>SUM(G36:G36)</f>
        <v>0</v>
      </c>
      <c r="H35" s="39">
        <f>SUM(H36:H36)</f>
        <v>983.73</v>
      </c>
      <c r="I35" s="39">
        <f>SUM(I36:I36)</f>
        <v>0</v>
      </c>
      <c r="J35" s="39">
        <f>SUM(J36:J36)</f>
        <v>983.73</v>
      </c>
    </row>
    <row r="36" spans="1:10" ht="12.75" customHeight="1" hidden="1" thickBot="1">
      <c r="A36" s="365"/>
      <c r="B36" s="131"/>
      <c r="C36" s="132"/>
      <c r="D36" s="133">
        <v>2212</v>
      </c>
      <c r="E36" s="133">
        <v>5169</v>
      </c>
      <c r="F36" s="134" t="s">
        <v>37</v>
      </c>
      <c r="G36" s="50">
        <v>0</v>
      </c>
      <c r="H36" s="45">
        <v>983.73</v>
      </c>
      <c r="I36" s="101"/>
      <c r="J36" s="101">
        <f>H36+I36</f>
        <v>983.73</v>
      </c>
    </row>
    <row r="37" spans="1:10" ht="12.75" hidden="1">
      <c r="A37" s="365"/>
      <c r="B37" s="129" t="s">
        <v>5</v>
      </c>
      <c r="C37" s="113" t="s">
        <v>96</v>
      </c>
      <c r="D37" s="130" t="s">
        <v>3</v>
      </c>
      <c r="E37" s="130" t="s">
        <v>3</v>
      </c>
      <c r="F37" s="47" t="s">
        <v>97</v>
      </c>
      <c r="G37" s="39">
        <f>SUM(G38:G38)</f>
        <v>0</v>
      </c>
      <c r="H37" s="39">
        <f>SUM(H38:H38)</f>
        <v>525.0830000000001</v>
      </c>
      <c r="I37" s="39">
        <f>SUM(I38:I38)</f>
        <v>0</v>
      </c>
      <c r="J37" s="39">
        <f>SUM(J38:J38)</f>
        <v>525.0830000000001</v>
      </c>
    </row>
    <row r="38" spans="1:10" ht="13.5" hidden="1" thickBot="1">
      <c r="A38" s="365"/>
      <c r="B38" s="139"/>
      <c r="C38" s="132"/>
      <c r="D38" s="133">
        <v>2212</v>
      </c>
      <c r="E38" s="179">
        <v>6121</v>
      </c>
      <c r="F38" s="180" t="s">
        <v>64</v>
      </c>
      <c r="G38" s="81">
        <v>0</v>
      </c>
      <c r="H38" s="138">
        <f>59.895+24.142+1156.871-715.825</f>
        <v>525.0830000000001</v>
      </c>
      <c r="I38" s="101"/>
      <c r="J38" s="101">
        <f>H38+I38</f>
        <v>525.0830000000001</v>
      </c>
    </row>
    <row r="39" spans="1:10" ht="12.75" hidden="1">
      <c r="A39" s="365"/>
      <c r="B39" s="129" t="s">
        <v>5</v>
      </c>
      <c r="C39" s="113" t="s">
        <v>98</v>
      </c>
      <c r="D39" s="130" t="s">
        <v>3</v>
      </c>
      <c r="E39" s="130" t="s">
        <v>3</v>
      </c>
      <c r="F39" s="47" t="s">
        <v>99</v>
      </c>
      <c r="G39" s="39">
        <f>SUM(G40:G40)</f>
        <v>0</v>
      </c>
      <c r="H39" s="39">
        <f>SUM(H40:H40)</f>
        <v>29.039999999999964</v>
      </c>
      <c r="I39" s="39">
        <f>SUM(I40:I40)</f>
        <v>0</v>
      </c>
      <c r="J39" s="39">
        <f>SUM(J40:J40)</f>
        <v>29.039999999999964</v>
      </c>
    </row>
    <row r="40" spans="1:10" ht="13.5" hidden="1" thickBot="1">
      <c r="A40" s="365"/>
      <c r="B40" s="131"/>
      <c r="C40" s="132"/>
      <c r="D40" s="133">
        <v>2212</v>
      </c>
      <c r="E40" s="179">
        <v>6121</v>
      </c>
      <c r="F40" s="180" t="s">
        <v>64</v>
      </c>
      <c r="G40" s="50">
        <v>0</v>
      </c>
      <c r="H40" s="178">
        <f>29.04+1483.555-1483.555</f>
        <v>29.039999999999964</v>
      </c>
      <c r="I40" s="101"/>
      <c r="J40" s="101">
        <f>H40+I40</f>
        <v>29.039999999999964</v>
      </c>
    </row>
    <row r="41" spans="1:10" ht="12.75" hidden="1">
      <c r="A41" s="365"/>
      <c r="B41" s="129" t="s">
        <v>5</v>
      </c>
      <c r="C41" s="113" t="s">
        <v>100</v>
      </c>
      <c r="D41" s="130" t="s">
        <v>3</v>
      </c>
      <c r="E41" s="130" t="s">
        <v>3</v>
      </c>
      <c r="F41" s="47" t="s">
        <v>101</v>
      </c>
      <c r="G41" s="39">
        <f>SUM(G42:G42)</f>
        <v>0</v>
      </c>
      <c r="H41" s="39">
        <f>SUM(H42:H42)</f>
        <v>158.37400000000002</v>
      </c>
      <c r="I41" s="39">
        <f>SUM(I42:I42)</f>
        <v>0</v>
      </c>
      <c r="J41" s="39">
        <f>SUM(J42:J42)</f>
        <v>158.37400000000002</v>
      </c>
    </row>
    <row r="42" spans="1:10" ht="13.5" hidden="1" thickBot="1">
      <c r="A42" s="365"/>
      <c r="B42" s="131"/>
      <c r="C42" s="132"/>
      <c r="D42" s="133">
        <v>2212</v>
      </c>
      <c r="E42" s="179">
        <v>6121</v>
      </c>
      <c r="F42" s="180" t="s">
        <v>64</v>
      </c>
      <c r="G42" s="50">
        <v>0</v>
      </c>
      <c r="H42" s="81">
        <f>158.374+589.522-589.522</f>
        <v>158.37400000000002</v>
      </c>
      <c r="I42" s="101"/>
      <c r="J42" s="101">
        <f>H42+I42</f>
        <v>158.37400000000002</v>
      </c>
    </row>
    <row r="43" spans="1:10" ht="12.75" hidden="1">
      <c r="A43" s="365"/>
      <c r="B43" s="129" t="s">
        <v>5</v>
      </c>
      <c r="C43" s="113" t="s">
        <v>102</v>
      </c>
      <c r="D43" s="130" t="s">
        <v>3</v>
      </c>
      <c r="E43" s="130" t="s">
        <v>3</v>
      </c>
      <c r="F43" s="47" t="s">
        <v>103</v>
      </c>
      <c r="G43" s="39">
        <f>SUM(G44:G44)</f>
        <v>0</v>
      </c>
      <c r="H43" s="39">
        <f>SUM(H44:H44)</f>
        <v>9188.214999999998</v>
      </c>
      <c r="I43" s="39">
        <f>SUM(I44:I44)</f>
        <v>0</v>
      </c>
      <c r="J43" s="39">
        <f>SUM(J44:J44)</f>
        <v>9188.214999999998</v>
      </c>
    </row>
    <row r="44" spans="1:10" ht="13.5" hidden="1" thickBot="1">
      <c r="A44" s="365"/>
      <c r="B44" s="131"/>
      <c r="C44" s="132"/>
      <c r="D44" s="133">
        <v>2212</v>
      </c>
      <c r="E44" s="179">
        <v>6121</v>
      </c>
      <c r="F44" s="180" t="s">
        <v>64</v>
      </c>
      <c r="G44" s="50">
        <v>0</v>
      </c>
      <c r="H44" s="138">
        <f>53.9+30.185+9104.13</f>
        <v>9188.214999999998</v>
      </c>
      <c r="I44" s="101"/>
      <c r="J44" s="101">
        <f>H44+I44</f>
        <v>9188.214999999998</v>
      </c>
    </row>
    <row r="45" spans="1:10" ht="12.75" hidden="1">
      <c r="A45" s="365"/>
      <c r="B45" s="129" t="s">
        <v>5</v>
      </c>
      <c r="C45" s="113" t="s">
        <v>104</v>
      </c>
      <c r="D45" s="130" t="s">
        <v>3</v>
      </c>
      <c r="E45" s="130" t="s">
        <v>3</v>
      </c>
      <c r="F45" s="47" t="s">
        <v>105</v>
      </c>
      <c r="G45" s="39">
        <f>SUM(G46:G46)</f>
        <v>0</v>
      </c>
      <c r="H45" s="39">
        <f>SUM(H46:H46)</f>
        <v>825.119</v>
      </c>
      <c r="I45" s="39">
        <f>SUM(I46:I46)</f>
        <v>0</v>
      </c>
      <c r="J45" s="39">
        <f>SUM(J46:J46)</f>
        <v>825.119</v>
      </c>
    </row>
    <row r="46" spans="1:10" ht="13.5" hidden="1" thickBot="1">
      <c r="A46" s="365"/>
      <c r="B46" s="131"/>
      <c r="C46" s="132"/>
      <c r="D46" s="133">
        <v>2212</v>
      </c>
      <c r="E46" s="111">
        <v>6121</v>
      </c>
      <c r="F46" s="140" t="s">
        <v>64</v>
      </c>
      <c r="G46" s="50">
        <v>0</v>
      </c>
      <c r="H46" s="138">
        <f>50.336+17.098+1041.498-283.813</f>
        <v>825.119</v>
      </c>
      <c r="I46" s="101"/>
      <c r="J46" s="101">
        <f>H46+I46</f>
        <v>825.119</v>
      </c>
    </row>
    <row r="47" spans="1:10" ht="12.75" hidden="1">
      <c r="A47" s="365"/>
      <c r="B47" s="129" t="s">
        <v>5</v>
      </c>
      <c r="C47" s="113" t="s">
        <v>106</v>
      </c>
      <c r="D47" s="105" t="s">
        <v>3</v>
      </c>
      <c r="E47" s="105" t="s">
        <v>3</v>
      </c>
      <c r="F47" s="106" t="s">
        <v>107</v>
      </c>
      <c r="G47" s="38">
        <f>SUM(G48:G48)</f>
        <v>0</v>
      </c>
      <c r="H47" s="39">
        <f>SUM(H48:H48)</f>
        <v>18.876</v>
      </c>
      <c r="I47" s="39">
        <f>SUM(I48:I48)</f>
        <v>0</v>
      </c>
      <c r="J47" s="38">
        <f>SUM(J48:J48)</f>
        <v>18.876</v>
      </c>
    </row>
    <row r="48" spans="1:10" ht="13.5" hidden="1" thickBot="1">
      <c r="A48" s="365"/>
      <c r="B48" s="116"/>
      <c r="C48" s="132"/>
      <c r="D48" s="111">
        <v>2212</v>
      </c>
      <c r="E48" s="111">
        <v>6121</v>
      </c>
      <c r="F48" s="140" t="s">
        <v>64</v>
      </c>
      <c r="G48" s="101">
        <v>0</v>
      </c>
      <c r="H48" s="138">
        <v>18.876</v>
      </c>
      <c r="I48" s="101"/>
      <c r="J48" s="101">
        <f>H48+I48</f>
        <v>18.876</v>
      </c>
    </row>
    <row r="49" spans="1:10" ht="12.75" hidden="1">
      <c r="A49" s="365"/>
      <c r="B49" s="129" t="s">
        <v>5</v>
      </c>
      <c r="C49" s="113" t="s">
        <v>108</v>
      </c>
      <c r="D49" s="105" t="s">
        <v>3</v>
      </c>
      <c r="E49" s="105" t="s">
        <v>3</v>
      </c>
      <c r="F49" s="106" t="s">
        <v>109</v>
      </c>
      <c r="G49" s="38">
        <f>SUM(G50:G50)</f>
        <v>0</v>
      </c>
      <c r="H49" s="39">
        <f>SUM(H50:H50)</f>
        <v>2776.516</v>
      </c>
      <c r="I49" s="39">
        <f>SUM(I50:I50)</f>
        <v>0</v>
      </c>
      <c r="J49" s="38">
        <f>SUM(J50:J50)</f>
        <v>2776.516</v>
      </c>
    </row>
    <row r="50" spans="1:10" ht="13.5" hidden="1" thickBot="1">
      <c r="A50" s="365"/>
      <c r="B50" s="116"/>
      <c r="C50" s="132"/>
      <c r="D50" s="111">
        <v>2212</v>
      </c>
      <c r="E50" s="111">
        <v>6121</v>
      </c>
      <c r="F50" s="140" t="s">
        <v>64</v>
      </c>
      <c r="G50" s="101">
        <v>0</v>
      </c>
      <c r="H50" s="138">
        <f>2923.862-147.346</f>
        <v>2776.516</v>
      </c>
      <c r="I50" s="101"/>
      <c r="J50" s="101">
        <f>H50+I50</f>
        <v>2776.516</v>
      </c>
    </row>
    <row r="51" spans="1:10" ht="12.75" hidden="1">
      <c r="A51" s="365"/>
      <c r="B51" s="129" t="s">
        <v>5</v>
      </c>
      <c r="C51" s="113" t="s">
        <v>110</v>
      </c>
      <c r="D51" s="105" t="s">
        <v>3</v>
      </c>
      <c r="E51" s="105" t="s">
        <v>3</v>
      </c>
      <c r="F51" s="106" t="s">
        <v>111</v>
      </c>
      <c r="G51" s="38">
        <f>SUM(G52:G52)</f>
        <v>0</v>
      </c>
      <c r="H51" s="39">
        <f>SUM(H52:H52)</f>
        <v>52.829</v>
      </c>
      <c r="I51" s="39">
        <f>SUM(I52:I52)</f>
        <v>0</v>
      </c>
      <c r="J51" s="38">
        <f>SUM(J52:J52)</f>
        <v>52.829</v>
      </c>
    </row>
    <row r="52" spans="1:10" ht="13.5" hidden="1" thickBot="1">
      <c r="A52" s="365"/>
      <c r="B52" s="116"/>
      <c r="C52" s="132"/>
      <c r="D52" s="111">
        <v>2212</v>
      </c>
      <c r="E52" s="111">
        <v>6121</v>
      </c>
      <c r="F52" s="140" t="s">
        <v>64</v>
      </c>
      <c r="G52" s="101">
        <v>0</v>
      </c>
      <c r="H52" s="138">
        <f>37.752+15.077</f>
        <v>52.829</v>
      </c>
      <c r="I52" s="101"/>
      <c r="J52" s="101">
        <f>H52+I52</f>
        <v>52.829</v>
      </c>
    </row>
    <row r="53" spans="1:10" ht="12.75" hidden="1">
      <c r="A53" s="365"/>
      <c r="B53" s="129" t="s">
        <v>5</v>
      </c>
      <c r="C53" s="113" t="s">
        <v>112</v>
      </c>
      <c r="D53" s="105" t="s">
        <v>3</v>
      </c>
      <c r="E53" s="105" t="s">
        <v>3</v>
      </c>
      <c r="F53" s="106" t="s">
        <v>113</v>
      </c>
      <c r="G53" s="38">
        <f>SUM(G54:G54)</f>
        <v>0</v>
      </c>
      <c r="H53" s="39">
        <f>SUM(H54:H54)</f>
        <v>34.727000000000004</v>
      </c>
      <c r="I53" s="39">
        <f>SUM(I54:I54)</f>
        <v>0</v>
      </c>
      <c r="J53" s="38">
        <f>SUM(J54:J54)</f>
        <v>34.727000000000004</v>
      </c>
    </row>
    <row r="54" spans="1:10" ht="13.5" hidden="1" thickBot="1">
      <c r="A54" s="365"/>
      <c r="B54" s="116"/>
      <c r="C54" s="132"/>
      <c r="D54" s="111">
        <v>2212</v>
      </c>
      <c r="E54" s="111">
        <v>6121</v>
      </c>
      <c r="F54" s="140" t="s">
        <v>64</v>
      </c>
      <c r="G54" s="101">
        <v>0</v>
      </c>
      <c r="H54" s="138">
        <f>14.157+53.778-33.208</f>
        <v>34.727000000000004</v>
      </c>
      <c r="I54" s="101"/>
      <c r="J54" s="101">
        <f>H54+I54</f>
        <v>34.727000000000004</v>
      </c>
    </row>
    <row r="55" spans="1:10" ht="12.75" hidden="1">
      <c r="A55" s="365"/>
      <c r="B55" s="129" t="s">
        <v>5</v>
      </c>
      <c r="C55" s="113" t="s">
        <v>114</v>
      </c>
      <c r="D55" s="105" t="s">
        <v>3</v>
      </c>
      <c r="E55" s="105" t="s">
        <v>3</v>
      </c>
      <c r="F55" s="106" t="s">
        <v>115</v>
      </c>
      <c r="G55" s="38">
        <f>SUM(G56:G56)</f>
        <v>0</v>
      </c>
      <c r="H55" s="39">
        <f>SUM(H56:H56)</f>
        <v>72.423</v>
      </c>
      <c r="I55" s="39">
        <f>SUM(I56:I56)</f>
        <v>0</v>
      </c>
      <c r="J55" s="38">
        <f>SUM(J56:J56)</f>
        <v>72.423</v>
      </c>
    </row>
    <row r="56" spans="1:10" ht="13.5" hidden="1" thickBot="1">
      <c r="A56" s="365"/>
      <c r="B56" s="116"/>
      <c r="C56" s="132"/>
      <c r="D56" s="111">
        <v>2212</v>
      </c>
      <c r="E56" s="111">
        <v>6121</v>
      </c>
      <c r="F56" s="140" t="s">
        <v>64</v>
      </c>
      <c r="G56" s="101">
        <v>0</v>
      </c>
      <c r="H56" s="138">
        <f>11.949+12.1+48.374</f>
        <v>72.423</v>
      </c>
      <c r="I56" s="101"/>
      <c r="J56" s="101">
        <f>H56+I56</f>
        <v>72.423</v>
      </c>
    </row>
    <row r="57" spans="1:10" ht="12.75" hidden="1">
      <c r="A57" s="365"/>
      <c r="B57" s="129" t="s">
        <v>5</v>
      </c>
      <c r="C57" s="113" t="s">
        <v>116</v>
      </c>
      <c r="D57" s="105" t="s">
        <v>3</v>
      </c>
      <c r="E57" s="105" t="s">
        <v>3</v>
      </c>
      <c r="F57" s="106" t="s">
        <v>117</v>
      </c>
      <c r="G57" s="38">
        <f>SUM(G58:G58)</f>
        <v>0</v>
      </c>
      <c r="H57" s="39">
        <f>SUM(H58:H58)</f>
        <v>7888.289</v>
      </c>
      <c r="I57" s="39">
        <f>SUM(I58:I58)</f>
        <v>0</v>
      </c>
      <c r="J57" s="38">
        <f>SUM(J58:J58)</f>
        <v>7888.289</v>
      </c>
    </row>
    <row r="58" spans="1:10" ht="13.5" hidden="1" thickBot="1">
      <c r="A58" s="365"/>
      <c r="B58" s="116"/>
      <c r="C58" s="132"/>
      <c r="D58" s="111">
        <v>2212</v>
      </c>
      <c r="E58" s="111">
        <v>6121</v>
      </c>
      <c r="F58" s="140" t="s">
        <v>64</v>
      </c>
      <c r="G58" s="101">
        <v>0</v>
      </c>
      <c r="H58" s="81">
        <f>47.19+14.036+7827.063</f>
        <v>7888.289</v>
      </c>
      <c r="I58" s="81"/>
      <c r="J58" s="101">
        <f>H58+I58</f>
        <v>7888.289</v>
      </c>
    </row>
    <row r="59" spans="1:10" ht="12.75" hidden="1">
      <c r="A59" s="365"/>
      <c r="B59" s="129" t="s">
        <v>5</v>
      </c>
      <c r="C59" s="113" t="s">
        <v>128</v>
      </c>
      <c r="D59" s="130" t="s">
        <v>3</v>
      </c>
      <c r="E59" s="130" t="s">
        <v>3</v>
      </c>
      <c r="F59" s="47" t="s">
        <v>129</v>
      </c>
      <c r="G59" s="38">
        <f>SUM(G60:G60)</f>
        <v>0</v>
      </c>
      <c r="H59" s="39">
        <f>SUM(H60:H60)</f>
        <v>15.125</v>
      </c>
      <c r="I59" s="39">
        <f>SUM(I60:I60)</f>
        <v>0</v>
      </c>
      <c r="J59" s="38">
        <f>SUM(J60:J60)</f>
        <v>15.125</v>
      </c>
    </row>
    <row r="60" spans="1:10" ht="13.5" hidden="1" thickBot="1">
      <c r="A60" s="365"/>
      <c r="B60" s="139"/>
      <c r="C60" s="141"/>
      <c r="D60" s="118">
        <v>2212</v>
      </c>
      <c r="E60" s="118">
        <v>6121</v>
      </c>
      <c r="F60" s="151" t="s">
        <v>64</v>
      </c>
      <c r="G60" s="101">
        <v>0</v>
      </c>
      <c r="H60" s="81">
        <f>15.125+40.479-40.479</f>
        <v>15.125</v>
      </c>
      <c r="I60" s="101"/>
      <c r="J60" s="101">
        <f>H60+I60</f>
        <v>15.125</v>
      </c>
    </row>
    <row r="61" spans="1:10" ht="12.75" hidden="1">
      <c r="A61" s="365"/>
      <c r="B61" s="129" t="s">
        <v>5</v>
      </c>
      <c r="C61" s="113" t="s">
        <v>130</v>
      </c>
      <c r="D61" s="130" t="s">
        <v>3</v>
      </c>
      <c r="E61" s="130" t="s">
        <v>3</v>
      </c>
      <c r="F61" s="47" t="s">
        <v>131</v>
      </c>
      <c r="G61" s="38">
        <f>SUM(G62:G62)</f>
        <v>0</v>
      </c>
      <c r="H61" s="39">
        <f>SUM(H62:H62)</f>
        <v>11.495</v>
      </c>
      <c r="I61" s="39">
        <f>SUM(I62:I62)</f>
        <v>0</v>
      </c>
      <c r="J61" s="38">
        <f>SUM(J62:J62)</f>
        <v>11.495</v>
      </c>
    </row>
    <row r="62" spans="1:10" ht="13.5" hidden="1" thickBot="1">
      <c r="A62" s="365"/>
      <c r="B62" s="135"/>
      <c r="C62" s="142"/>
      <c r="D62" s="136">
        <v>2212</v>
      </c>
      <c r="E62" s="136">
        <v>5169</v>
      </c>
      <c r="F62" s="148" t="s">
        <v>37</v>
      </c>
      <c r="G62" s="101">
        <v>0</v>
      </c>
      <c r="H62" s="138">
        <v>11.495</v>
      </c>
      <c r="I62" s="101"/>
      <c r="J62" s="101">
        <f>H62+I62</f>
        <v>11.495</v>
      </c>
    </row>
    <row r="63" spans="1:10" ht="12.75" hidden="1">
      <c r="A63" s="365"/>
      <c r="B63" s="129" t="s">
        <v>5</v>
      </c>
      <c r="C63" s="113" t="s">
        <v>132</v>
      </c>
      <c r="D63" s="130" t="s">
        <v>3</v>
      </c>
      <c r="E63" s="130" t="s">
        <v>3</v>
      </c>
      <c r="F63" s="47" t="s">
        <v>133</v>
      </c>
      <c r="G63" s="38">
        <f>SUM(G64:G64)</f>
        <v>0</v>
      </c>
      <c r="H63" s="39">
        <f>SUM(H64:H64)</f>
        <v>12.1</v>
      </c>
      <c r="I63" s="39">
        <f>SUM(I64:I64)</f>
        <v>0</v>
      </c>
      <c r="J63" s="38">
        <f>SUM(J64:J64)</f>
        <v>12.1</v>
      </c>
    </row>
    <row r="64" spans="1:10" ht="13.5" hidden="1" thickBot="1">
      <c r="A64" s="365"/>
      <c r="B64" s="135"/>
      <c r="C64" s="142"/>
      <c r="D64" s="136">
        <v>2212</v>
      </c>
      <c r="E64" s="136">
        <v>5169</v>
      </c>
      <c r="F64" s="148" t="s">
        <v>37</v>
      </c>
      <c r="G64" s="101">
        <v>0</v>
      </c>
      <c r="H64" s="138">
        <v>12.1</v>
      </c>
      <c r="I64" s="101"/>
      <c r="J64" s="101">
        <f>H64+I64</f>
        <v>12.1</v>
      </c>
    </row>
    <row r="65" spans="1:10" ht="12.75" hidden="1">
      <c r="A65" s="365"/>
      <c r="B65" s="129" t="s">
        <v>5</v>
      </c>
      <c r="C65" s="113" t="s">
        <v>134</v>
      </c>
      <c r="D65" s="130" t="s">
        <v>3</v>
      </c>
      <c r="E65" s="130" t="s">
        <v>3</v>
      </c>
      <c r="F65" s="47" t="s">
        <v>135</v>
      </c>
      <c r="G65" s="38">
        <f>SUM(G66:G66)</f>
        <v>0</v>
      </c>
      <c r="H65" s="39">
        <f>SUM(H66:H66)</f>
        <v>13489.08</v>
      </c>
      <c r="I65" s="39">
        <f>SUM(I66:I66)</f>
        <v>0</v>
      </c>
      <c r="J65" s="38">
        <f>SUM(J66:J66)</f>
        <v>13489.08</v>
      </c>
    </row>
    <row r="66" spans="1:11" ht="13.5" hidden="1" thickBot="1">
      <c r="A66" s="365"/>
      <c r="B66" s="139"/>
      <c r="C66" s="141"/>
      <c r="D66" s="133">
        <v>2212</v>
      </c>
      <c r="E66" s="133">
        <v>6121</v>
      </c>
      <c r="F66" s="140" t="s">
        <v>64</v>
      </c>
      <c r="G66" s="101">
        <v>0</v>
      </c>
      <c r="H66" s="81">
        <f>30.25+14.52+13086.15+313.39+44.77</f>
        <v>13489.08</v>
      </c>
      <c r="I66" s="101"/>
      <c r="J66" s="101">
        <f>H66+I66</f>
        <v>13489.08</v>
      </c>
      <c r="K66" s="128"/>
    </row>
    <row r="67" spans="1:10" ht="12.75" hidden="1">
      <c r="A67" s="365"/>
      <c r="B67" s="129" t="s">
        <v>5</v>
      </c>
      <c r="C67" s="113" t="s">
        <v>136</v>
      </c>
      <c r="D67" s="130" t="s">
        <v>3</v>
      </c>
      <c r="E67" s="130" t="s">
        <v>3</v>
      </c>
      <c r="F67" s="47" t="s">
        <v>137</v>
      </c>
      <c r="G67" s="38">
        <f>SUM(G68:G68)</f>
        <v>0</v>
      </c>
      <c r="H67" s="39">
        <f>SUM(H68:H68)</f>
        <v>10.89</v>
      </c>
      <c r="I67" s="39">
        <f>SUM(I68:I68)</f>
        <v>0</v>
      </c>
      <c r="J67" s="38">
        <f>SUM(J68:J68)</f>
        <v>10.89</v>
      </c>
    </row>
    <row r="68" spans="1:10" ht="13.5" hidden="1" thickBot="1">
      <c r="A68" s="365"/>
      <c r="B68" s="139"/>
      <c r="C68" s="141"/>
      <c r="D68" s="133">
        <v>2212</v>
      </c>
      <c r="E68" s="133">
        <v>5169</v>
      </c>
      <c r="F68" s="147" t="s">
        <v>37</v>
      </c>
      <c r="G68" s="101">
        <v>0</v>
      </c>
      <c r="H68" s="81">
        <v>10.89</v>
      </c>
      <c r="I68" s="101"/>
      <c r="J68" s="101">
        <f>H68+I68</f>
        <v>10.89</v>
      </c>
    </row>
    <row r="69" spans="1:10" ht="12.75" hidden="1">
      <c r="A69" s="365"/>
      <c r="B69" s="129" t="s">
        <v>5</v>
      </c>
      <c r="C69" s="113" t="s">
        <v>138</v>
      </c>
      <c r="D69" s="130" t="s">
        <v>3</v>
      </c>
      <c r="E69" s="130" t="s">
        <v>3</v>
      </c>
      <c r="F69" s="47" t="s">
        <v>139</v>
      </c>
      <c r="G69" s="38">
        <f>SUM(G70:G70)</f>
        <v>0</v>
      </c>
      <c r="H69" s="39">
        <f>SUM(H70:H70)</f>
        <v>30.069000000000003</v>
      </c>
      <c r="I69" s="39">
        <f>SUM(I70:I70)</f>
        <v>0</v>
      </c>
      <c r="J69" s="38">
        <f>SUM(J70:J70)</f>
        <v>30.069000000000003</v>
      </c>
    </row>
    <row r="70" spans="1:10" ht="13.5" hidden="1" thickBot="1">
      <c r="A70" s="365"/>
      <c r="B70" s="135"/>
      <c r="C70" s="142"/>
      <c r="D70" s="136">
        <v>2212</v>
      </c>
      <c r="E70" s="136">
        <v>5169</v>
      </c>
      <c r="F70" s="148" t="s">
        <v>37</v>
      </c>
      <c r="G70" s="101">
        <v>0</v>
      </c>
      <c r="H70" s="138">
        <f>12.1+17.969</f>
        <v>30.069000000000003</v>
      </c>
      <c r="I70" s="101"/>
      <c r="J70" s="101">
        <f>H70+I70</f>
        <v>30.069000000000003</v>
      </c>
    </row>
    <row r="71" spans="1:10" ht="12.75" hidden="1">
      <c r="A71" s="365"/>
      <c r="B71" s="129" t="s">
        <v>5</v>
      </c>
      <c r="C71" s="113" t="s">
        <v>140</v>
      </c>
      <c r="D71" s="130" t="s">
        <v>3</v>
      </c>
      <c r="E71" s="130" t="s">
        <v>3</v>
      </c>
      <c r="F71" s="47" t="s">
        <v>141</v>
      </c>
      <c r="G71" s="39">
        <f>SUM(G72:G73)</f>
        <v>0</v>
      </c>
      <c r="H71" s="39">
        <f>SUM(H72:H73)</f>
        <v>14.119</v>
      </c>
      <c r="I71" s="39">
        <f>SUM(I72:I73)</f>
        <v>0</v>
      </c>
      <c r="J71" s="39">
        <f>SUM(J72:J73)</f>
        <v>14.119</v>
      </c>
    </row>
    <row r="72" spans="1:10" ht="12.75" hidden="1">
      <c r="A72" s="365"/>
      <c r="B72" s="135"/>
      <c r="C72" s="142"/>
      <c r="D72" s="136">
        <v>2212</v>
      </c>
      <c r="E72" s="136">
        <v>5169</v>
      </c>
      <c r="F72" s="148" t="s">
        <v>37</v>
      </c>
      <c r="G72" s="138">
        <v>0</v>
      </c>
      <c r="H72" s="138">
        <f>14.119</f>
        <v>14.119</v>
      </c>
      <c r="I72" s="138"/>
      <c r="J72" s="138">
        <f>H72+I72</f>
        <v>14.119</v>
      </c>
    </row>
    <row r="73" spans="1:10" ht="13.5" hidden="1" thickBot="1">
      <c r="A73" s="365"/>
      <c r="B73" s="139"/>
      <c r="C73" s="141"/>
      <c r="D73" s="133">
        <v>2212</v>
      </c>
      <c r="E73" s="119">
        <v>5171</v>
      </c>
      <c r="F73" s="181" t="s">
        <v>86</v>
      </c>
      <c r="G73" s="81">
        <v>0</v>
      </c>
      <c r="H73" s="81">
        <f>49.323-49.323</f>
        <v>0</v>
      </c>
      <c r="I73" s="81"/>
      <c r="J73" s="101">
        <f>H73+I73</f>
        <v>0</v>
      </c>
    </row>
    <row r="74" spans="1:10" ht="12.75" hidden="1">
      <c r="A74" s="365"/>
      <c r="B74" s="129" t="s">
        <v>5</v>
      </c>
      <c r="C74" s="113" t="s">
        <v>142</v>
      </c>
      <c r="D74" s="130" t="s">
        <v>3</v>
      </c>
      <c r="E74" s="130" t="s">
        <v>3</v>
      </c>
      <c r="F74" s="47" t="s">
        <v>143</v>
      </c>
      <c r="G74" s="38">
        <f>SUM(G75:G75)</f>
        <v>0</v>
      </c>
      <c r="H74" s="39">
        <f>SUM(H75:H75)</f>
        <v>9.68</v>
      </c>
      <c r="I74" s="39">
        <f>SUM(I75:I75)</f>
        <v>0</v>
      </c>
      <c r="J74" s="38">
        <f>SUM(J75:J75)</f>
        <v>9.68</v>
      </c>
    </row>
    <row r="75" spans="1:10" ht="13.5" hidden="1" thickBot="1">
      <c r="A75" s="365"/>
      <c r="B75" s="135"/>
      <c r="C75" s="142"/>
      <c r="D75" s="136">
        <v>2212</v>
      </c>
      <c r="E75" s="136">
        <v>5169</v>
      </c>
      <c r="F75" s="148" t="s">
        <v>37</v>
      </c>
      <c r="G75" s="101">
        <v>0</v>
      </c>
      <c r="H75" s="138">
        <v>9.68</v>
      </c>
      <c r="I75" s="101"/>
      <c r="J75" s="101">
        <f>H75+I75</f>
        <v>9.68</v>
      </c>
    </row>
    <row r="76" spans="1:10" ht="12.75" hidden="1">
      <c r="A76" s="365"/>
      <c r="B76" s="129" t="s">
        <v>5</v>
      </c>
      <c r="C76" s="113" t="s">
        <v>144</v>
      </c>
      <c r="D76" s="130" t="s">
        <v>3</v>
      </c>
      <c r="E76" s="130" t="s">
        <v>3</v>
      </c>
      <c r="F76" s="47" t="s">
        <v>145</v>
      </c>
      <c r="G76" s="38">
        <f>SUM(G77:G77)</f>
        <v>0</v>
      </c>
      <c r="H76" s="39">
        <f>SUM(H77:H77)</f>
        <v>54.888999999999996</v>
      </c>
      <c r="I76" s="39">
        <f>SUM(I77:I77)</f>
        <v>0</v>
      </c>
      <c r="J76" s="38">
        <f>SUM(J77:J77)</f>
        <v>54.888999999999996</v>
      </c>
    </row>
    <row r="77" spans="1:10" ht="13.5" hidden="1" thickBot="1">
      <c r="A77" s="365"/>
      <c r="B77" s="139"/>
      <c r="C77" s="141"/>
      <c r="D77" s="133">
        <v>2212</v>
      </c>
      <c r="E77" s="118">
        <v>6121</v>
      </c>
      <c r="F77" s="151" t="s">
        <v>64</v>
      </c>
      <c r="G77" s="101">
        <v>0</v>
      </c>
      <c r="H77" s="81">
        <f>20.404+18.15+109.254+16.335-109.254</f>
        <v>54.888999999999996</v>
      </c>
      <c r="I77" s="101"/>
      <c r="J77" s="101">
        <f>H77+I77</f>
        <v>54.888999999999996</v>
      </c>
    </row>
    <row r="78" spans="1:10" ht="12.75" hidden="1">
      <c r="A78" s="365"/>
      <c r="B78" s="129" t="s">
        <v>5</v>
      </c>
      <c r="C78" s="113" t="s">
        <v>146</v>
      </c>
      <c r="D78" s="130" t="s">
        <v>3</v>
      </c>
      <c r="E78" s="130" t="s">
        <v>3</v>
      </c>
      <c r="F78" s="47" t="s">
        <v>147</v>
      </c>
      <c r="G78" s="38">
        <f>SUM(G79:G79)</f>
        <v>0</v>
      </c>
      <c r="H78" s="39">
        <f>SUM(H79:H79)</f>
        <v>25.410000000000025</v>
      </c>
      <c r="I78" s="39">
        <f>SUM(I79:I79)</f>
        <v>0</v>
      </c>
      <c r="J78" s="38">
        <f>SUM(J79:J79)</f>
        <v>25.410000000000025</v>
      </c>
    </row>
    <row r="79" spans="1:10" ht="13.5" hidden="1" thickBot="1">
      <c r="A79" s="365"/>
      <c r="B79" s="139"/>
      <c r="C79" s="141"/>
      <c r="D79" s="118">
        <v>2212</v>
      </c>
      <c r="E79" s="118">
        <v>6121</v>
      </c>
      <c r="F79" s="151" t="s">
        <v>64</v>
      </c>
      <c r="G79" s="101">
        <v>0</v>
      </c>
      <c r="H79" s="81">
        <f>25.41+397.321-397.321</f>
        <v>25.410000000000025</v>
      </c>
      <c r="I79" s="101"/>
      <c r="J79" s="101">
        <f>H79+I79</f>
        <v>25.410000000000025</v>
      </c>
    </row>
    <row r="80" spans="1:10" ht="12.75" hidden="1">
      <c r="A80" s="365"/>
      <c r="B80" s="129" t="s">
        <v>5</v>
      </c>
      <c r="C80" s="113" t="s">
        <v>148</v>
      </c>
      <c r="D80" s="130" t="s">
        <v>3</v>
      </c>
      <c r="E80" s="130" t="s">
        <v>3</v>
      </c>
      <c r="F80" s="47" t="s">
        <v>149</v>
      </c>
      <c r="G80" s="38">
        <f>SUM(G81:G81)</f>
        <v>0</v>
      </c>
      <c r="H80" s="39">
        <f>SUM(H81:H81)</f>
        <v>1586.488</v>
      </c>
      <c r="I80" s="39">
        <f>SUM(I81:I81)</f>
        <v>0</v>
      </c>
      <c r="J80" s="38">
        <f>SUM(J81:J81)</f>
        <v>1586.488</v>
      </c>
    </row>
    <row r="81" spans="1:10" ht="13.5" hidden="1" thickBot="1">
      <c r="A81" s="365"/>
      <c r="B81" s="139"/>
      <c r="C81" s="141"/>
      <c r="D81" s="133">
        <v>2212</v>
      </c>
      <c r="E81" s="118">
        <v>6121</v>
      </c>
      <c r="F81" s="151" t="s">
        <v>64</v>
      </c>
      <c r="G81" s="101">
        <v>0</v>
      </c>
      <c r="H81" s="81">
        <f>13.2+17.485+1555.803</f>
        <v>1586.488</v>
      </c>
      <c r="I81" s="101"/>
      <c r="J81" s="101">
        <f>H81+I81</f>
        <v>1586.488</v>
      </c>
    </row>
    <row r="82" spans="1:10" ht="12.75" hidden="1">
      <c r="A82" s="365"/>
      <c r="B82" s="129" t="s">
        <v>5</v>
      </c>
      <c r="C82" s="113" t="s">
        <v>150</v>
      </c>
      <c r="D82" s="130" t="s">
        <v>3</v>
      </c>
      <c r="E82" s="130" t="s">
        <v>3</v>
      </c>
      <c r="F82" s="47" t="s">
        <v>151</v>
      </c>
      <c r="G82" s="39">
        <f>SUM(G83:G84)</f>
        <v>0</v>
      </c>
      <c r="H82" s="39">
        <f>SUM(H83:H84)</f>
        <v>25.405</v>
      </c>
      <c r="I82" s="39">
        <f>SUM(I83:I84)</f>
        <v>0</v>
      </c>
      <c r="J82" s="39">
        <f>SUM(J83:J84)</f>
        <v>25.405</v>
      </c>
    </row>
    <row r="83" spans="1:10" ht="12.75" hidden="1">
      <c r="A83" s="365"/>
      <c r="B83" s="135"/>
      <c r="C83" s="142"/>
      <c r="D83" s="136">
        <v>2212</v>
      </c>
      <c r="E83" s="136">
        <v>5169</v>
      </c>
      <c r="F83" s="137" t="s">
        <v>37</v>
      </c>
      <c r="G83" s="138">
        <v>0</v>
      </c>
      <c r="H83" s="138">
        <f>7.92+17.485</f>
        <v>25.405</v>
      </c>
      <c r="I83" s="138"/>
      <c r="J83" s="138">
        <f>H83+I83</f>
        <v>25.405</v>
      </c>
    </row>
    <row r="84" spans="1:10" ht="13.5" hidden="1" thickBot="1">
      <c r="A84" s="365"/>
      <c r="B84" s="131"/>
      <c r="C84" s="117"/>
      <c r="D84" s="118">
        <v>2212</v>
      </c>
      <c r="E84" s="176">
        <v>5171</v>
      </c>
      <c r="F84" s="177" t="s">
        <v>86</v>
      </c>
      <c r="G84" s="50">
        <v>0</v>
      </c>
      <c r="H84" s="50">
        <f>86.584-86.584</f>
        <v>0</v>
      </c>
      <c r="I84" s="50"/>
      <c r="J84" s="101">
        <f>H84+I84</f>
        <v>0</v>
      </c>
    </row>
    <row r="85" spans="1:10" ht="12.75" hidden="1">
      <c r="A85" s="365"/>
      <c r="B85" s="129" t="s">
        <v>5</v>
      </c>
      <c r="C85" s="113" t="s">
        <v>152</v>
      </c>
      <c r="D85" s="130" t="s">
        <v>3</v>
      </c>
      <c r="E85" s="130" t="s">
        <v>3</v>
      </c>
      <c r="F85" s="47" t="s">
        <v>153</v>
      </c>
      <c r="G85" s="38">
        <f>SUM(G86:G86)</f>
        <v>0</v>
      </c>
      <c r="H85" s="39">
        <f>SUM(H86:H86)</f>
        <v>2735.218</v>
      </c>
      <c r="I85" s="39">
        <f>SUM(I86:I86)</f>
        <v>0</v>
      </c>
      <c r="J85" s="38">
        <f>SUM(J86:J86)</f>
        <v>2735.218</v>
      </c>
    </row>
    <row r="86" spans="1:10" ht="13.5" hidden="1" thickBot="1">
      <c r="A86" s="365"/>
      <c r="B86" s="139"/>
      <c r="C86" s="141"/>
      <c r="D86" s="133">
        <v>2212</v>
      </c>
      <c r="E86" s="118">
        <v>6121</v>
      </c>
      <c r="F86" s="151" t="s">
        <v>64</v>
      </c>
      <c r="G86" s="101">
        <v>0</v>
      </c>
      <c r="H86" s="81">
        <f>16.35+34.969+2683.899</f>
        <v>2735.218</v>
      </c>
      <c r="I86" s="81"/>
      <c r="J86" s="101">
        <f>H86+I86</f>
        <v>2735.218</v>
      </c>
    </row>
    <row r="87" spans="1:10" ht="12.75" hidden="1">
      <c r="A87" s="365"/>
      <c r="B87" s="129" t="s">
        <v>5</v>
      </c>
      <c r="C87" s="113" t="s">
        <v>154</v>
      </c>
      <c r="D87" s="130" t="s">
        <v>3</v>
      </c>
      <c r="E87" s="130" t="s">
        <v>3</v>
      </c>
      <c r="F87" s="47" t="s">
        <v>155</v>
      </c>
      <c r="G87" s="38">
        <f>SUM(G88:G88)</f>
        <v>0</v>
      </c>
      <c r="H87" s="39">
        <f>SUM(H88:H88)</f>
        <v>4770.293</v>
      </c>
      <c r="I87" s="39">
        <f>SUM(I88:I88)</f>
        <v>0</v>
      </c>
      <c r="J87" s="38">
        <f>SUM(J88:J88)</f>
        <v>4770.293</v>
      </c>
    </row>
    <row r="88" spans="1:10" ht="13.5" hidden="1" thickBot="1">
      <c r="A88" s="365"/>
      <c r="B88" s="139"/>
      <c r="C88" s="141"/>
      <c r="D88" s="133">
        <v>2212</v>
      </c>
      <c r="E88" s="133">
        <v>6121</v>
      </c>
      <c r="F88" s="140" t="s">
        <v>64</v>
      </c>
      <c r="G88" s="101">
        <v>0</v>
      </c>
      <c r="H88" s="81">
        <f>24.829+38.72+4706.744</f>
        <v>4770.293</v>
      </c>
      <c r="I88" s="101"/>
      <c r="J88" s="101">
        <f>H88+I88</f>
        <v>4770.293</v>
      </c>
    </row>
    <row r="89" spans="1:10" ht="12.75" hidden="1">
      <c r="A89" s="365"/>
      <c r="B89" s="129" t="s">
        <v>5</v>
      </c>
      <c r="C89" s="113" t="s">
        <v>156</v>
      </c>
      <c r="D89" s="130" t="s">
        <v>3</v>
      </c>
      <c r="E89" s="130" t="s">
        <v>3</v>
      </c>
      <c r="F89" s="47" t="s">
        <v>157</v>
      </c>
      <c r="G89" s="39">
        <f>SUM(G90:G91)</f>
        <v>0</v>
      </c>
      <c r="H89" s="39">
        <f>SUM(H90:H91)</f>
        <v>915.35</v>
      </c>
      <c r="I89" s="39">
        <f>SUM(I90:I91)</f>
        <v>0</v>
      </c>
      <c r="J89" s="39">
        <f>SUM(J90:J91)</f>
        <v>915.35</v>
      </c>
    </row>
    <row r="90" spans="1:10" ht="12.75" hidden="1">
      <c r="A90" s="365"/>
      <c r="B90" s="135"/>
      <c r="C90" s="142"/>
      <c r="D90" s="136">
        <v>2212</v>
      </c>
      <c r="E90" s="136">
        <v>5169</v>
      </c>
      <c r="F90" s="137" t="s">
        <v>37</v>
      </c>
      <c r="G90" s="45">
        <v>0</v>
      </c>
      <c r="H90" s="138">
        <f>14.702+18.15</f>
        <v>32.852</v>
      </c>
      <c r="I90" s="45"/>
      <c r="J90" s="45">
        <f>H90+I90</f>
        <v>32.852</v>
      </c>
    </row>
    <row r="91" spans="1:10" ht="13.5" hidden="1" thickBot="1">
      <c r="A91" s="365"/>
      <c r="B91" s="174"/>
      <c r="C91" s="175"/>
      <c r="D91" s="118">
        <v>2212</v>
      </c>
      <c r="E91" s="176">
        <v>5171</v>
      </c>
      <c r="F91" s="177" t="s">
        <v>86</v>
      </c>
      <c r="G91" s="50">
        <v>0</v>
      </c>
      <c r="H91" s="81">
        <v>882.498</v>
      </c>
      <c r="I91" s="303"/>
      <c r="J91" s="101">
        <f>H91+I91</f>
        <v>882.498</v>
      </c>
    </row>
    <row r="92" spans="1:10" ht="12.75" hidden="1">
      <c r="A92" s="365"/>
      <c r="B92" s="129" t="s">
        <v>5</v>
      </c>
      <c r="C92" s="113" t="s">
        <v>158</v>
      </c>
      <c r="D92" s="130" t="s">
        <v>3</v>
      </c>
      <c r="E92" s="130" t="s">
        <v>3</v>
      </c>
      <c r="F92" s="47" t="s">
        <v>159</v>
      </c>
      <c r="G92" s="38">
        <f>SUM(G93:G93)</f>
        <v>0</v>
      </c>
      <c r="H92" s="39">
        <f>SUM(H93:H93)</f>
        <v>656.7420000000001</v>
      </c>
      <c r="I92" s="39">
        <f>SUM(I93:I93)</f>
        <v>0</v>
      </c>
      <c r="J92" s="38">
        <f>SUM(J93:J93)</f>
        <v>656.7420000000001</v>
      </c>
    </row>
    <row r="93" spans="1:10" ht="13.5" hidden="1" thickBot="1">
      <c r="A93" s="365"/>
      <c r="B93" s="139"/>
      <c r="C93" s="141"/>
      <c r="D93" s="133">
        <v>2212</v>
      </c>
      <c r="E93" s="133">
        <v>6121</v>
      </c>
      <c r="F93" s="140" t="s">
        <v>64</v>
      </c>
      <c r="G93" s="101">
        <v>0</v>
      </c>
      <c r="H93" s="81">
        <f>27.443+41.14+1392.143-803.984</f>
        <v>656.7420000000001</v>
      </c>
      <c r="I93" s="101"/>
      <c r="J93" s="101">
        <f>H93+I93</f>
        <v>656.7420000000001</v>
      </c>
    </row>
    <row r="94" spans="1:10" ht="12.75" hidden="1">
      <c r="A94" s="365"/>
      <c r="B94" s="129" t="s">
        <v>5</v>
      </c>
      <c r="C94" s="113" t="s">
        <v>160</v>
      </c>
      <c r="D94" s="130" t="s">
        <v>3</v>
      </c>
      <c r="E94" s="130" t="s">
        <v>3</v>
      </c>
      <c r="F94" s="47" t="s">
        <v>161</v>
      </c>
      <c r="G94" s="38">
        <f>SUM(G95:G95)</f>
        <v>0</v>
      </c>
      <c r="H94" s="39">
        <f>SUM(H95:H95)</f>
        <v>0</v>
      </c>
      <c r="I94" s="39">
        <f>SUM(I95:I95)</f>
        <v>0</v>
      </c>
      <c r="J94" s="38">
        <f>SUM(J95:J95)</f>
        <v>0</v>
      </c>
    </row>
    <row r="95" spans="1:10" ht="13.5" hidden="1" thickBot="1">
      <c r="A95" s="365"/>
      <c r="B95" s="139"/>
      <c r="C95" s="141"/>
      <c r="D95" s="133">
        <v>2212</v>
      </c>
      <c r="E95" s="119">
        <v>5171</v>
      </c>
      <c r="F95" s="177" t="s">
        <v>86</v>
      </c>
      <c r="G95" s="101">
        <v>0</v>
      </c>
      <c r="H95" s="81">
        <f>260.156-48.374-211.782</f>
        <v>0</v>
      </c>
      <c r="I95" s="101"/>
      <c r="J95" s="101">
        <f>H95+I95</f>
        <v>0</v>
      </c>
    </row>
    <row r="96" spans="1:10" ht="12.75" hidden="1">
      <c r="A96" s="365"/>
      <c r="B96" s="129" t="s">
        <v>5</v>
      </c>
      <c r="C96" s="113" t="s">
        <v>162</v>
      </c>
      <c r="D96" s="130" t="s">
        <v>3</v>
      </c>
      <c r="E96" s="130" t="s">
        <v>3</v>
      </c>
      <c r="F96" s="47" t="s">
        <v>163</v>
      </c>
      <c r="G96" s="38">
        <f>SUM(G97:G97)</f>
        <v>0</v>
      </c>
      <c r="H96" s="39">
        <f>SUM(H97:H97)</f>
        <v>5136.081999999999</v>
      </c>
      <c r="I96" s="39">
        <f>SUM(I97:I97)</f>
        <v>0</v>
      </c>
      <c r="J96" s="38">
        <f>SUM(J97:J97)</f>
        <v>5136.081999999999</v>
      </c>
    </row>
    <row r="97" spans="1:10" ht="13.5" hidden="1" thickBot="1">
      <c r="A97" s="365"/>
      <c r="B97" s="139"/>
      <c r="C97" s="141"/>
      <c r="D97" s="133">
        <v>2212</v>
      </c>
      <c r="E97" s="118">
        <v>6121</v>
      </c>
      <c r="F97" s="151" t="s">
        <v>64</v>
      </c>
      <c r="G97" s="101">
        <v>0</v>
      </c>
      <c r="H97" s="81">
        <f>5055.516+57.566+23</f>
        <v>5136.081999999999</v>
      </c>
      <c r="I97" s="101"/>
      <c r="J97" s="101">
        <f>H97+I97</f>
        <v>5136.081999999999</v>
      </c>
    </row>
    <row r="98" spans="1:10" ht="12.75" hidden="1">
      <c r="A98" s="365"/>
      <c r="B98" s="129" t="s">
        <v>5</v>
      </c>
      <c r="C98" s="113" t="s">
        <v>164</v>
      </c>
      <c r="D98" s="130" t="s">
        <v>3</v>
      </c>
      <c r="E98" s="130" t="s">
        <v>3</v>
      </c>
      <c r="F98" s="47" t="s">
        <v>165</v>
      </c>
      <c r="G98" s="39">
        <f>SUM(G99:G100)</f>
        <v>0</v>
      </c>
      <c r="H98" s="39">
        <f>SUM(H99:H100)</f>
        <v>5725.936</v>
      </c>
      <c r="I98" s="39">
        <f>SUM(I99:I100)</f>
        <v>0</v>
      </c>
      <c r="J98" s="39">
        <f>SUM(J99:J100)</f>
        <v>5725.936</v>
      </c>
    </row>
    <row r="99" spans="1:10" ht="12.75" hidden="1">
      <c r="A99" s="365"/>
      <c r="B99" s="135"/>
      <c r="C99" s="142"/>
      <c r="D99" s="136">
        <v>2212</v>
      </c>
      <c r="E99" s="136">
        <v>5169</v>
      </c>
      <c r="F99" s="137" t="s">
        <v>37</v>
      </c>
      <c r="G99" s="45">
        <v>0</v>
      </c>
      <c r="H99" s="138">
        <f>38.72+17.226</f>
        <v>55.946</v>
      </c>
      <c r="I99" s="138"/>
      <c r="J99" s="138">
        <f>H99+I99</f>
        <v>55.946</v>
      </c>
    </row>
    <row r="100" spans="1:10" ht="13.5" hidden="1" thickBot="1">
      <c r="A100" s="365"/>
      <c r="B100" s="139"/>
      <c r="C100" s="141"/>
      <c r="D100" s="133">
        <v>2212</v>
      </c>
      <c r="E100" s="176">
        <v>5171</v>
      </c>
      <c r="F100" s="177" t="s">
        <v>86</v>
      </c>
      <c r="G100" s="101">
        <v>0</v>
      </c>
      <c r="H100" s="50">
        <f>8043.576+38.72+17.226-2373.586-(38.72+17.226)</f>
        <v>5669.99</v>
      </c>
      <c r="I100" s="50"/>
      <c r="J100" s="101">
        <f>H100+I100</f>
        <v>5669.99</v>
      </c>
    </row>
    <row r="101" spans="1:10" ht="12.75" hidden="1">
      <c r="A101" s="365"/>
      <c r="B101" s="129" t="s">
        <v>5</v>
      </c>
      <c r="C101" s="113" t="s">
        <v>166</v>
      </c>
      <c r="D101" s="130" t="s">
        <v>3</v>
      </c>
      <c r="E101" s="130" t="s">
        <v>3</v>
      </c>
      <c r="F101" s="47" t="s">
        <v>167</v>
      </c>
      <c r="G101" s="38">
        <f>SUM(G102:G102)</f>
        <v>0</v>
      </c>
      <c r="H101" s="39">
        <f>SUM(H102:H102)</f>
        <v>7105</v>
      </c>
      <c r="I101" s="39">
        <f>SUM(I102:I102)</f>
        <v>0</v>
      </c>
      <c r="J101" s="38">
        <f>SUM(J102:J102)</f>
        <v>7105</v>
      </c>
    </row>
    <row r="102" spans="1:10" ht="13.5" hidden="1" thickBot="1">
      <c r="A102" s="365"/>
      <c r="B102" s="139"/>
      <c r="C102" s="141"/>
      <c r="D102" s="133">
        <v>2212</v>
      </c>
      <c r="E102" s="118">
        <v>6121</v>
      </c>
      <c r="F102" s="151" t="s">
        <v>64</v>
      </c>
      <c r="G102" s="101">
        <v>0</v>
      </c>
      <c r="H102" s="81">
        <f>7000+16+89</f>
        <v>7105</v>
      </c>
      <c r="I102" s="81"/>
      <c r="J102" s="101">
        <f>H102+I102</f>
        <v>7105</v>
      </c>
    </row>
    <row r="103" spans="1:10" ht="13.5" thickBot="1">
      <c r="A103" s="365"/>
      <c r="B103" s="123" t="s">
        <v>5</v>
      </c>
      <c r="C103" s="124" t="s">
        <v>3</v>
      </c>
      <c r="D103" s="125" t="s">
        <v>3</v>
      </c>
      <c r="E103" s="125" t="s">
        <v>3</v>
      </c>
      <c r="F103" s="126" t="s">
        <v>168</v>
      </c>
      <c r="G103" s="127">
        <f>G104+G108+G110+G112+G114+G116+G118+G120+G122+G124+G126+G128+G130+G132+G134+G136+G138+G141+G143+G145+G147+G149+G151+G153+G155+G157+G160+G162+G164+G166+G168+G170</f>
        <v>84434</v>
      </c>
      <c r="H103" s="127">
        <f>H104+H108+H110+H112+H114+H116+H118+H120+H122+H124+H126+H128+H130+H132+H134+H136+H138+H141+H143+H145+H147+H149+H151+H153+H155+H157+H160+H162+H164+H166+H168+H170</f>
        <v>145163.73899999997</v>
      </c>
      <c r="I103" s="127">
        <f>I104+I108+I110+I112+I114+I116+I118+I120+I122+I124+I126+I128+I130+I132+I134+I136+I138+I141+I143+I145+I147+I149+I151+I153+I155+I157+I160+I162+I164+I166+I168+I170</f>
        <v>0</v>
      </c>
      <c r="J103" s="127">
        <f>J104+J108+J110+J112+J114+J116+J118+J120+J122+J124+J126+J128+J130+J132+J134+J136+J138+J141+J143+J145+J147+J149+J151+J153+J155+J157+J160+J162+J164+J166+J168+J170</f>
        <v>145163.73899999997</v>
      </c>
    </row>
    <row r="104" spans="1:10" ht="12.75" hidden="1">
      <c r="A104" s="365"/>
      <c r="B104" s="129" t="s">
        <v>5</v>
      </c>
      <c r="C104" s="48" t="s">
        <v>94</v>
      </c>
      <c r="D104" s="130" t="s">
        <v>3</v>
      </c>
      <c r="E104" s="130" t="s">
        <v>3</v>
      </c>
      <c r="F104" s="47" t="s">
        <v>95</v>
      </c>
      <c r="G104" s="39">
        <f>SUM(G105:G107)</f>
        <v>0</v>
      </c>
      <c r="H104" s="39">
        <f>SUM(H105:H107)</f>
        <v>30000</v>
      </c>
      <c r="I104" s="39">
        <f>SUM(I105:I107)</f>
        <v>0</v>
      </c>
      <c r="J104" s="39">
        <f>SUM(J105:J107)</f>
        <v>30000</v>
      </c>
    </row>
    <row r="105" spans="1:10" ht="12.75" hidden="1">
      <c r="A105" s="365"/>
      <c r="B105" s="144"/>
      <c r="C105" s="145"/>
      <c r="D105" s="136">
        <v>2212</v>
      </c>
      <c r="E105" s="183">
        <v>5901</v>
      </c>
      <c r="F105" s="184" t="s">
        <v>71</v>
      </c>
      <c r="G105" s="146">
        <v>0</v>
      </c>
      <c r="H105" s="185">
        <v>30000</v>
      </c>
      <c r="I105" s="185"/>
      <c r="J105" s="138">
        <f>H105+I105</f>
        <v>30000</v>
      </c>
    </row>
    <row r="106" spans="1:10" ht="12.75" hidden="1">
      <c r="A106" s="365"/>
      <c r="B106" s="186"/>
      <c r="C106" s="187" t="s">
        <v>169</v>
      </c>
      <c r="D106" s="136">
        <v>2212</v>
      </c>
      <c r="E106" s="183">
        <v>5901</v>
      </c>
      <c r="F106" s="184" t="s">
        <v>71</v>
      </c>
      <c r="G106" s="146">
        <v>0</v>
      </c>
      <c r="H106" s="185">
        <f>90000-54365.337-34893.566+2177.802-2194.033-724.737+142.66+894.982-1037.771+615.5604-615.5604</f>
        <v>1.8189894035458565E-12</v>
      </c>
      <c r="I106" s="185"/>
      <c r="J106" s="138">
        <f>H106+I106</f>
        <v>1.8189894035458565E-12</v>
      </c>
    </row>
    <row r="107" spans="1:10" ht="13.5" hidden="1" thickBot="1">
      <c r="A107" s="365"/>
      <c r="B107" s="186"/>
      <c r="C107" s="188" t="s">
        <v>170</v>
      </c>
      <c r="D107" s="118">
        <v>2212</v>
      </c>
      <c r="E107" s="176">
        <v>6901</v>
      </c>
      <c r="F107" s="177" t="s">
        <v>171</v>
      </c>
      <c r="G107" s="189">
        <v>0</v>
      </c>
      <c r="H107" s="185">
        <f>37894-19752.029-11654.004-19.481-524.083-360.915+413.522-5362.088+84.094+514.998-1234.014</f>
        <v>0</v>
      </c>
      <c r="I107" s="185"/>
      <c r="J107" s="101">
        <f>H107+I107</f>
        <v>0</v>
      </c>
    </row>
    <row r="108" spans="1:10" ht="12.75" customHeight="1" hidden="1">
      <c r="A108" s="365"/>
      <c r="B108" s="129" t="s">
        <v>5</v>
      </c>
      <c r="C108" s="113" t="s">
        <v>73</v>
      </c>
      <c r="D108" s="130" t="s">
        <v>3</v>
      </c>
      <c r="E108" s="130" t="s">
        <v>3</v>
      </c>
      <c r="F108" s="47" t="s">
        <v>74</v>
      </c>
      <c r="G108" s="39">
        <f>SUM(G109:G109)</f>
        <v>11631</v>
      </c>
      <c r="H108" s="39">
        <f>SUM(H109:H109)</f>
        <v>8842.52</v>
      </c>
      <c r="I108" s="143">
        <f>SUM(I109:I109)</f>
        <v>0</v>
      </c>
      <c r="J108" s="39">
        <f>SUM(J109:J109)</f>
        <v>8842.52</v>
      </c>
    </row>
    <row r="109" spans="1:11" ht="12.75" customHeight="1" hidden="1" thickBot="1">
      <c r="A109" s="365"/>
      <c r="B109" s="131"/>
      <c r="C109" s="132"/>
      <c r="D109" s="133">
        <v>2212</v>
      </c>
      <c r="E109" s="111">
        <v>6121</v>
      </c>
      <c r="F109" s="140" t="s">
        <v>172</v>
      </c>
      <c r="G109" s="50">
        <v>11631</v>
      </c>
      <c r="H109" s="50">
        <f>11631+29+14.4-2831.88</f>
        <v>8842.52</v>
      </c>
      <c r="I109" s="122"/>
      <c r="J109" s="101">
        <f>H109+I109</f>
        <v>8842.52</v>
      </c>
      <c r="K109" s="128"/>
    </row>
    <row r="110" spans="1:10" ht="12.75" customHeight="1" hidden="1">
      <c r="A110" s="365"/>
      <c r="B110" s="129" t="s">
        <v>5</v>
      </c>
      <c r="C110" s="113" t="s">
        <v>80</v>
      </c>
      <c r="D110" s="130" t="s">
        <v>3</v>
      </c>
      <c r="E110" s="130" t="s">
        <v>3</v>
      </c>
      <c r="F110" s="47" t="s">
        <v>81</v>
      </c>
      <c r="G110" s="39">
        <f>SUM(G111:G111)</f>
        <v>0</v>
      </c>
      <c r="H110" s="39">
        <f>SUM(H111:H111)</f>
        <v>435.43</v>
      </c>
      <c r="I110" s="143">
        <f>SUM(I111:I111)</f>
        <v>0</v>
      </c>
      <c r="J110" s="39">
        <f>SUM(J111:J111)</f>
        <v>435.43</v>
      </c>
    </row>
    <row r="111" spans="1:10" ht="12.75" customHeight="1" hidden="1" thickBot="1">
      <c r="A111" s="365"/>
      <c r="B111" s="139"/>
      <c r="C111" s="132"/>
      <c r="D111" s="133">
        <v>2212</v>
      </c>
      <c r="E111" s="136">
        <v>6121</v>
      </c>
      <c r="F111" s="110" t="s">
        <v>64</v>
      </c>
      <c r="G111" s="81">
        <v>0</v>
      </c>
      <c r="H111" s="101">
        <f>318.23+96.8+20.4</f>
        <v>435.43</v>
      </c>
      <c r="I111" s="122"/>
      <c r="J111" s="101">
        <f>H111+I111</f>
        <v>435.43</v>
      </c>
    </row>
    <row r="112" spans="1:10" ht="12.75" customHeight="1" hidden="1">
      <c r="A112" s="365"/>
      <c r="B112" s="129" t="s">
        <v>5</v>
      </c>
      <c r="C112" s="113" t="s">
        <v>84</v>
      </c>
      <c r="D112" s="130" t="s">
        <v>3</v>
      </c>
      <c r="E112" s="130" t="s">
        <v>3</v>
      </c>
      <c r="F112" s="47" t="s">
        <v>85</v>
      </c>
      <c r="G112" s="39">
        <f>SUM(G113:G113)</f>
        <v>35724</v>
      </c>
      <c r="H112" s="39">
        <f>SUM(H113:H113)</f>
        <v>35843</v>
      </c>
      <c r="I112" s="143">
        <f>SUM(I113:I113)</f>
        <v>0</v>
      </c>
      <c r="J112" s="39">
        <f>SUM(J113:J113)</f>
        <v>35843</v>
      </c>
    </row>
    <row r="113" spans="1:10" ht="12.75" customHeight="1" hidden="1" thickBot="1">
      <c r="A113" s="365"/>
      <c r="B113" s="131"/>
      <c r="C113" s="132"/>
      <c r="D113" s="133">
        <v>2212</v>
      </c>
      <c r="E113" s="111">
        <v>6121</v>
      </c>
      <c r="F113" s="140" t="s">
        <v>172</v>
      </c>
      <c r="G113" s="50">
        <v>35724</v>
      </c>
      <c r="H113" s="50">
        <f>35724+23+96</f>
        <v>35843</v>
      </c>
      <c r="I113" s="122"/>
      <c r="J113" s="101">
        <f>H113+I113</f>
        <v>35843</v>
      </c>
    </row>
    <row r="114" spans="1:10" ht="12.75" hidden="1">
      <c r="A114" s="365"/>
      <c r="B114" s="129" t="s">
        <v>5</v>
      </c>
      <c r="C114" s="113" t="s">
        <v>173</v>
      </c>
      <c r="D114" s="130" t="s">
        <v>3</v>
      </c>
      <c r="E114" s="130" t="s">
        <v>3</v>
      </c>
      <c r="F114" s="47" t="s">
        <v>174</v>
      </c>
      <c r="G114" s="39">
        <f>G115</f>
        <v>24280</v>
      </c>
      <c r="H114" s="39">
        <f>H115</f>
        <v>24346.4</v>
      </c>
      <c r="I114" s="143">
        <f>SUM(I115:I115)</f>
        <v>0</v>
      </c>
      <c r="J114" s="39">
        <f>SUM(J115:J115)</f>
        <v>24346.4</v>
      </c>
    </row>
    <row r="115" spans="1:10" ht="13.5" hidden="1" thickBot="1">
      <c r="A115" s="365"/>
      <c r="B115" s="131"/>
      <c r="C115" s="132"/>
      <c r="D115" s="133">
        <v>2212</v>
      </c>
      <c r="E115" s="111">
        <v>6121</v>
      </c>
      <c r="F115" s="140" t="s">
        <v>172</v>
      </c>
      <c r="G115" s="50">
        <v>24280</v>
      </c>
      <c r="H115" s="50">
        <f>24280+18+48.4</f>
        <v>24346.4</v>
      </c>
      <c r="I115" s="122"/>
      <c r="J115" s="101">
        <f>H115+I115</f>
        <v>24346.4</v>
      </c>
    </row>
    <row r="116" spans="1:10" ht="12.75" hidden="1">
      <c r="A116" s="365"/>
      <c r="B116" s="129" t="s">
        <v>5</v>
      </c>
      <c r="C116" s="113" t="s">
        <v>175</v>
      </c>
      <c r="D116" s="130" t="s">
        <v>3</v>
      </c>
      <c r="E116" s="130" t="s">
        <v>3</v>
      </c>
      <c r="F116" s="47" t="s">
        <v>176</v>
      </c>
      <c r="G116" s="39">
        <f>G117</f>
        <v>3371</v>
      </c>
      <c r="H116" s="39">
        <f>H117</f>
        <v>3023.249</v>
      </c>
      <c r="I116" s="143">
        <f>SUM(I117:I117)</f>
        <v>0</v>
      </c>
      <c r="J116" s="39">
        <f>SUM(J117:J117)</f>
        <v>3023.249</v>
      </c>
    </row>
    <row r="117" spans="1:10" ht="13.5" hidden="1" thickBot="1">
      <c r="A117" s="365"/>
      <c r="B117" s="131"/>
      <c r="C117" s="132"/>
      <c r="D117" s="133">
        <v>2212</v>
      </c>
      <c r="E117" s="111">
        <v>6121</v>
      </c>
      <c r="F117" s="140" t="s">
        <v>172</v>
      </c>
      <c r="G117" s="50">
        <v>3371</v>
      </c>
      <c r="H117" s="50">
        <f>3371+37.52+15.618-400.889</f>
        <v>3023.249</v>
      </c>
      <c r="I117" s="122"/>
      <c r="J117" s="101">
        <f>H117+I117</f>
        <v>3023.249</v>
      </c>
    </row>
    <row r="118" spans="1:10" ht="12.75" hidden="1">
      <c r="A118" s="365"/>
      <c r="B118" s="129" t="s">
        <v>5</v>
      </c>
      <c r="C118" s="113" t="s">
        <v>177</v>
      </c>
      <c r="D118" s="130" t="s">
        <v>3</v>
      </c>
      <c r="E118" s="130" t="s">
        <v>3</v>
      </c>
      <c r="F118" s="47" t="s">
        <v>178</v>
      </c>
      <c r="G118" s="39">
        <f>G119</f>
        <v>8339</v>
      </c>
      <c r="H118" s="39">
        <f>H119</f>
        <v>6729.1759999999995</v>
      </c>
      <c r="I118" s="143">
        <f>SUM(I119:I119)</f>
        <v>0</v>
      </c>
      <c r="J118" s="39">
        <f>SUM(J119:J119)</f>
        <v>6729.1759999999995</v>
      </c>
    </row>
    <row r="119" spans="1:10" ht="13.5" hidden="1" thickBot="1">
      <c r="A119" s="365"/>
      <c r="B119" s="131"/>
      <c r="C119" s="132"/>
      <c r="D119" s="133">
        <v>2212</v>
      </c>
      <c r="E119" s="111">
        <v>6121</v>
      </c>
      <c r="F119" s="140" t="s">
        <v>172</v>
      </c>
      <c r="G119" s="50">
        <v>8339</v>
      </c>
      <c r="H119" s="50">
        <f>8339-1686.824+60.5+16.5</f>
        <v>6729.1759999999995</v>
      </c>
      <c r="I119" s="122"/>
      <c r="J119" s="101">
        <f>H119+I119</f>
        <v>6729.1759999999995</v>
      </c>
    </row>
    <row r="120" spans="1:10" ht="12.75" hidden="1">
      <c r="A120" s="365"/>
      <c r="B120" s="129" t="s">
        <v>5</v>
      </c>
      <c r="C120" s="113" t="s">
        <v>179</v>
      </c>
      <c r="D120" s="130" t="s">
        <v>3</v>
      </c>
      <c r="E120" s="130" t="s">
        <v>3</v>
      </c>
      <c r="F120" s="47" t="s">
        <v>180</v>
      </c>
      <c r="G120" s="39">
        <f>G121</f>
        <v>1089</v>
      </c>
      <c r="H120" s="39">
        <f>H121</f>
        <v>1089</v>
      </c>
      <c r="I120" s="143">
        <f>SUM(I121:I121)</f>
        <v>0</v>
      </c>
      <c r="J120" s="39">
        <f>SUM(J121:J121)</f>
        <v>1089</v>
      </c>
    </row>
    <row r="121" spans="1:10" ht="13.5" hidden="1" thickBot="1">
      <c r="A121" s="365"/>
      <c r="B121" s="131"/>
      <c r="C121" s="132"/>
      <c r="D121" s="133">
        <v>2212</v>
      </c>
      <c r="E121" s="111">
        <v>5171</v>
      </c>
      <c r="F121" s="140" t="s">
        <v>86</v>
      </c>
      <c r="G121" s="50">
        <v>1089</v>
      </c>
      <c r="H121" s="50">
        <v>1089</v>
      </c>
      <c r="I121" s="122"/>
      <c r="J121" s="101">
        <f>H121+I121</f>
        <v>1089</v>
      </c>
    </row>
    <row r="122" spans="1:10" ht="12.75" hidden="1">
      <c r="A122" s="365"/>
      <c r="B122" s="129" t="s">
        <v>5</v>
      </c>
      <c r="C122" s="113" t="s">
        <v>181</v>
      </c>
      <c r="D122" s="130" t="s">
        <v>3</v>
      </c>
      <c r="E122" s="130" t="s">
        <v>3</v>
      </c>
      <c r="F122" s="47" t="s">
        <v>182</v>
      </c>
      <c r="G122" s="38">
        <f>SUM(G123:G123)</f>
        <v>0</v>
      </c>
      <c r="H122" s="39">
        <f>SUM(H123:H123)</f>
        <v>2771.337</v>
      </c>
      <c r="I122" s="143">
        <f>SUM(I123:I123)</f>
        <v>0</v>
      </c>
      <c r="J122" s="39">
        <f>SUM(J123:J123)</f>
        <v>2771.337</v>
      </c>
    </row>
    <row r="123" spans="1:10" ht="13.5" hidden="1" thickBot="1">
      <c r="A123" s="365"/>
      <c r="B123" s="139"/>
      <c r="C123" s="141"/>
      <c r="D123" s="133">
        <v>2212</v>
      </c>
      <c r="E123" s="118">
        <v>6121</v>
      </c>
      <c r="F123" s="151" t="s">
        <v>64</v>
      </c>
      <c r="G123" s="101">
        <v>0</v>
      </c>
      <c r="H123" s="101">
        <f>2725.337+30+16</f>
        <v>2771.337</v>
      </c>
      <c r="I123" s="122"/>
      <c r="J123" s="101">
        <f>H123+I123</f>
        <v>2771.337</v>
      </c>
    </row>
    <row r="124" spans="1:10" ht="12.75" hidden="1">
      <c r="A124" s="365"/>
      <c r="B124" s="129" t="s">
        <v>5</v>
      </c>
      <c r="C124" s="113" t="s">
        <v>183</v>
      </c>
      <c r="D124" s="130" t="s">
        <v>3</v>
      </c>
      <c r="E124" s="130" t="s">
        <v>3</v>
      </c>
      <c r="F124" s="47" t="s">
        <v>184</v>
      </c>
      <c r="G124" s="38">
        <f>SUM(G125:G125)</f>
        <v>0</v>
      </c>
      <c r="H124" s="39">
        <f>SUM(H125:H125)</f>
        <v>2488.5339999999997</v>
      </c>
      <c r="I124" s="143">
        <f>SUM(I125:I125)</f>
        <v>0</v>
      </c>
      <c r="J124" s="39">
        <f>SUM(J125:J125)</f>
        <v>2488.5339999999997</v>
      </c>
    </row>
    <row r="125" spans="1:10" ht="13.5" hidden="1" thickBot="1">
      <c r="A125" s="365"/>
      <c r="B125" s="139"/>
      <c r="C125" s="141"/>
      <c r="D125" s="133">
        <v>2212</v>
      </c>
      <c r="E125" s="118">
        <v>6121</v>
      </c>
      <c r="F125" s="151" t="s">
        <v>64</v>
      </c>
      <c r="G125" s="101">
        <v>0</v>
      </c>
      <c r="H125" s="101">
        <f>15+57.566+2415.968</f>
        <v>2488.5339999999997</v>
      </c>
      <c r="I125" s="122"/>
      <c r="J125" s="101">
        <f>H125+I125</f>
        <v>2488.5339999999997</v>
      </c>
    </row>
    <row r="126" spans="1:10" ht="12.75" hidden="1">
      <c r="A126" s="365"/>
      <c r="B126" s="129" t="s">
        <v>5</v>
      </c>
      <c r="C126" s="113" t="s">
        <v>185</v>
      </c>
      <c r="D126" s="130" t="s">
        <v>3</v>
      </c>
      <c r="E126" s="130" t="s">
        <v>3</v>
      </c>
      <c r="F126" s="47" t="s">
        <v>75</v>
      </c>
      <c r="G126" s="38">
        <f>SUM(G127:G127)</f>
        <v>0</v>
      </c>
      <c r="H126" s="39">
        <f>SUM(H127:H127)</f>
        <v>9965.099</v>
      </c>
      <c r="I126" s="143">
        <f>SUM(I127:I127)</f>
        <v>0</v>
      </c>
      <c r="J126" s="39">
        <f>SUM(J127:J127)</f>
        <v>9965.099</v>
      </c>
    </row>
    <row r="127" spans="1:10" ht="13.5" hidden="1" thickBot="1">
      <c r="A127" s="365"/>
      <c r="B127" s="139"/>
      <c r="C127" s="141"/>
      <c r="D127" s="133">
        <v>2212</v>
      </c>
      <c r="E127" s="118">
        <v>6121</v>
      </c>
      <c r="F127" s="151" t="s">
        <v>64</v>
      </c>
      <c r="G127" s="101">
        <v>0</v>
      </c>
      <c r="H127" s="101">
        <f>9906.599+42.5+16</f>
        <v>9965.099</v>
      </c>
      <c r="I127" s="122"/>
      <c r="J127" s="101">
        <f>H127+I127</f>
        <v>9965.099</v>
      </c>
    </row>
    <row r="128" spans="1:10" ht="12.75" hidden="1">
      <c r="A128" s="365"/>
      <c r="B128" s="129" t="s">
        <v>5</v>
      </c>
      <c r="C128" s="113" t="s">
        <v>266</v>
      </c>
      <c r="D128" s="130" t="s">
        <v>3</v>
      </c>
      <c r="E128" s="130" t="s">
        <v>3</v>
      </c>
      <c r="F128" s="47" t="s">
        <v>267</v>
      </c>
      <c r="G128" s="38">
        <f>SUM(G129:G129)</f>
        <v>0</v>
      </c>
      <c r="H128" s="39">
        <f>SUM(H129:H129)</f>
        <v>6545.409</v>
      </c>
      <c r="I128" s="143">
        <f>SUM(I129:I129)</f>
        <v>0</v>
      </c>
      <c r="J128" s="39">
        <f>SUM(J129:J129)</f>
        <v>6545.409</v>
      </c>
    </row>
    <row r="129" spans="1:10" ht="13.5" hidden="1" thickBot="1">
      <c r="A129" s="365"/>
      <c r="B129" s="139"/>
      <c r="C129" s="141"/>
      <c r="D129" s="133">
        <v>2212</v>
      </c>
      <c r="E129" s="118">
        <v>6121</v>
      </c>
      <c r="F129" s="151" t="s">
        <v>64</v>
      </c>
      <c r="G129" s="101">
        <v>0</v>
      </c>
      <c r="H129" s="101">
        <f>20.5+14.4+6510.509</f>
        <v>6545.409</v>
      </c>
      <c r="I129" s="122"/>
      <c r="J129" s="101">
        <f>H129+I129</f>
        <v>6545.409</v>
      </c>
    </row>
    <row r="130" spans="1:10" ht="12.75" hidden="1">
      <c r="A130" s="365"/>
      <c r="B130" s="129" t="s">
        <v>5</v>
      </c>
      <c r="C130" s="113" t="s">
        <v>268</v>
      </c>
      <c r="D130" s="130" t="s">
        <v>3</v>
      </c>
      <c r="E130" s="130" t="s">
        <v>3</v>
      </c>
      <c r="F130" s="47" t="s">
        <v>269</v>
      </c>
      <c r="G130" s="38">
        <f>SUM(G131:G131)</f>
        <v>0</v>
      </c>
      <c r="H130" s="39">
        <f>SUM(H131:H131)</f>
        <v>9625.908</v>
      </c>
      <c r="I130" s="143">
        <f>SUM(I131:I131)</f>
        <v>0</v>
      </c>
      <c r="J130" s="39">
        <f>SUM(J131:J131)</f>
        <v>9625.908</v>
      </c>
    </row>
    <row r="131" spans="1:10" ht="13.5" hidden="1" thickBot="1">
      <c r="A131" s="365"/>
      <c r="B131" s="139"/>
      <c r="C131" s="141"/>
      <c r="D131" s="133">
        <v>2212</v>
      </c>
      <c r="E131" s="118">
        <v>6121</v>
      </c>
      <c r="F131" s="151" t="s">
        <v>64</v>
      </c>
      <c r="G131" s="101">
        <v>0</v>
      </c>
      <c r="H131" s="101">
        <f>55.66+18+9552.248</f>
        <v>9625.908</v>
      </c>
      <c r="I131" s="122"/>
      <c r="J131" s="101">
        <f>H131+I131</f>
        <v>9625.908</v>
      </c>
    </row>
    <row r="132" spans="1:10" ht="12.75" hidden="1">
      <c r="A132" s="365"/>
      <c r="B132" s="129" t="s">
        <v>5</v>
      </c>
      <c r="C132" s="113" t="s">
        <v>270</v>
      </c>
      <c r="D132" s="130" t="s">
        <v>3</v>
      </c>
      <c r="E132" s="130" t="s">
        <v>3</v>
      </c>
      <c r="F132" s="47" t="s">
        <v>271</v>
      </c>
      <c r="G132" s="38">
        <f>SUM(G133:G133)</f>
        <v>0</v>
      </c>
      <c r="H132" s="39">
        <f>SUM(H133:H133)</f>
        <v>1096.694</v>
      </c>
      <c r="I132" s="143">
        <f>SUM(I133:I133)</f>
        <v>0</v>
      </c>
      <c r="J132" s="39">
        <f>SUM(J133:J133)</f>
        <v>1096.694</v>
      </c>
    </row>
    <row r="133" spans="1:10" ht="13.5" hidden="1" thickBot="1">
      <c r="A133" s="365"/>
      <c r="B133" s="139"/>
      <c r="C133" s="141"/>
      <c r="D133" s="133">
        <v>2212</v>
      </c>
      <c r="E133" s="118">
        <v>6121</v>
      </c>
      <c r="F133" s="151" t="s">
        <v>64</v>
      </c>
      <c r="G133" s="101">
        <v>0</v>
      </c>
      <c r="H133" s="101">
        <f>7.5+1064.994+24.2</f>
        <v>1096.694</v>
      </c>
      <c r="I133" s="122"/>
      <c r="J133" s="101">
        <f>H133+I133</f>
        <v>1096.694</v>
      </c>
    </row>
    <row r="134" spans="1:10" ht="12.75" hidden="1">
      <c r="A134" s="365"/>
      <c r="B134" s="129" t="s">
        <v>5</v>
      </c>
      <c r="C134" s="113" t="s">
        <v>272</v>
      </c>
      <c r="D134" s="130" t="s">
        <v>3</v>
      </c>
      <c r="E134" s="130" t="s">
        <v>3</v>
      </c>
      <c r="F134" s="47" t="s">
        <v>273</v>
      </c>
      <c r="G134" s="38">
        <f>SUM(G135:G135)</f>
        <v>0</v>
      </c>
      <c r="H134" s="39">
        <f>SUM(H135:H135)</f>
        <v>98.1</v>
      </c>
      <c r="I134" s="143">
        <f>SUM(I135:I135)</f>
        <v>0</v>
      </c>
      <c r="J134" s="39">
        <f>SUM(J135:J135)</f>
        <v>98.1</v>
      </c>
    </row>
    <row r="135" spans="1:10" ht="13.5" hidden="1" thickBot="1">
      <c r="A135" s="365"/>
      <c r="B135" s="139"/>
      <c r="C135" s="141"/>
      <c r="D135" s="133">
        <v>2212</v>
      </c>
      <c r="E135" s="133">
        <v>6121</v>
      </c>
      <c r="F135" s="140" t="s">
        <v>64</v>
      </c>
      <c r="G135" s="101">
        <v>0</v>
      </c>
      <c r="H135" s="101">
        <f>25.5+72.6</f>
        <v>98.1</v>
      </c>
      <c r="I135" s="122"/>
      <c r="J135" s="101">
        <f>H135+I135</f>
        <v>98.1</v>
      </c>
    </row>
    <row r="136" spans="1:10" ht="12.75" hidden="1">
      <c r="A136" s="365"/>
      <c r="B136" s="129" t="s">
        <v>5</v>
      </c>
      <c r="C136" s="113" t="s">
        <v>274</v>
      </c>
      <c r="D136" s="130" t="s">
        <v>3</v>
      </c>
      <c r="E136" s="130" t="s">
        <v>3</v>
      </c>
      <c r="F136" s="47" t="s">
        <v>275</v>
      </c>
      <c r="G136" s="38">
        <f>SUM(G137:G137)</f>
        <v>0</v>
      </c>
      <c r="H136" s="39">
        <f>SUM(H137:H137)</f>
        <v>104.06</v>
      </c>
      <c r="I136" s="143">
        <f>SUM(I137:I137)</f>
        <v>0</v>
      </c>
      <c r="J136" s="39">
        <f>SUM(J137:J137)</f>
        <v>104.06</v>
      </c>
    </row>
    <row r="137" spans="1:10" ht="13.5" hidden="1" thickBot="1">
      <c r="A137" s="365"/>
      <c r="B137" s="139"/>
      <c r="C137" s="141"/>
      <c r="D137" s="133">
        <v>2212</v>
      </c>
      <c r="E137" s="118">
        <v>6121</v>
      </c>
      <c r="F137" s="151" t="s">
        <v>64</v>
      </c>
      <c r="G137" s="101">
        <v>0</v>
      </c>
      <c r="H137" s="101">
        <f>58.08+45.98</f>
        <v>104.06</v>
      </c>
      <c r="I137" s="122"/>
      <c r="J137" s="101">
        <f>H137+I137</f>
        <v>104.06</v>
      </c>
    </row>
    <row r="138" spans="1:10" ht="12.75" hidden="1">
      <c r="A138" s="365"/>
      <c r="B138" s="129" t="s">
        <v>5</v>
      </c>
      <c r="C138" s="113" t="s">
        <v>276</v>
      </c>
      <c r="D138" s="130" t="s">
        <v>3</v>
      </c>
      <c r="E138" s="130" t="s">
        <v>3</v>
      </c>
      <c r="F138" s="47" t="s">
        <v>277</v>
      </c>
      <c r="G138" s="39">
        <f>SUM(G139:G140)</f>
        <v>0</v>
      </c>
      <c r="H138" s="39">
        <f>SUM(H139:H140)</f>
        <v>1283.668</v>
      </c>
      <c r="I138" s="143">
        <f>SUM(I139:I140)</f>
        <v>0</v>
      </c>
      <c r="J138" s="39">
        <f>SUM(J139:J140)</f>
        <v>1283.668</v>
      </c>
    </row>
    <row r="139" spans="1:10" ht="12.75" hidden="1">
      <c r="A139" s="365"/>
      <c r="B139" s="135"/>
      <c r="C139" s="142"/>
      <c r="D139" s="136">
        <v>2212</v>
      </c>
      <c r="E139" s="136">
        <v>5169</v>
      </c>
      <c r="F139" s="148" t="s">
        <v>37</v>
      </c>
      <c r="G139" s="45">
        <v>0</v>
      </c>
      <c r="H139" s="45">
        <f>30.25+14.5+1238.918-1238.918</f>
        <v>44.75</v>
      </c>
      <c r="I139" s="150"/>
      <c r="J139" s="45">
        <f>H139+I139</f>
        <v>44.75</v>
      </c>
    </row>
    <row r="140" spans="1:10" ht="13.5" hidden="1" thickBot="1">
      <c r="A140" s="365"/>
      <c r="B140" s="131"/>
      <c r="C140" s="300"/>
      <c r="D140" s="118">
        <v>2212</v>
      </c>
      <c r="E140" s="301">
        <v>5171</v>
      </c>
      <c r="F140" s="151" t="s">
        <v>86</v>
      </c>
      <c r="G140" s="50">
        <v>0</v>
      </c>
      <c r="H140" s="45">
        <v>1238.918</v>
      </c>
      <c r="I140" s="150"/>
      <c r="J140" s="72">
        <f>H140+I140</f>
        <v>1238.918</v>
      </c>
    </row>
    <row r="141" spans="1:10" ht="12.75" hidden="1">
      <c r="A141" s="365"/>
      <c r="B141" s="129" t="s">
        <v>5</v>
      </c>
      <c r="C141" s="113" t="s">
        <v>278</v>
      </c>
      <c r="D141" s="130" t="s">
        <v>3</v>
      </c>
      <c r="E141" s="130" t="s">
        <v>3</v>
      </c>
      <c r="F141" s="47" t="s">
        <v>279</v>
      </c>
      <c r="G141" s="38">
        <f>SUM(G142:G142)</f>
        <v>0</v>
      </c>
      <c r="H141" s="39">
        <f>SUM(H142:H142)</f>
        <v>592.35</v>
      </c>
      <c r="I141" s="143">
        <f>SUM(I142:I142)</f>
        <v>0</v>
      </c>
      <c r="J141" s="39">
        <f>SUM(J142:J142)</f>
        <v>592.35</v>
      </c>
    </row>
    <row r="142" spans="1:10" ht="13.5" hidden="1" thickBot="1">
      <c r="A142" s="365"/>
      <c r="B142" s="139"/>
      <c r="C142" s="141"/>
      <c r="D142" s="133">
        <v>2212</v>
      </c>
      <c r="E142" s="118">
        <v>6121</v>
      </c>
      <c r="F142" s="151" t="s">
        <v>64</v>
      </c>
      <c r="G142" s="101">
        <v>0</v>
      </c>
      <c r="H142" s="101">
        <f>545.65+14+32.7</f>
        <v>592.35</v>
      </c>
      <c r="I142" s="122"/>
      <c r="J142" s="101">
        <f>H142+I142</f>
        <v>592.35</v>
      </c>
    </row>
    <row r="143" spans="1:10" ht="12.75" hidden="1">
      <c r="A143" s="365"/>
      <c r="B143" s="129" t="s">
        <v>5</v>
      </c>
      <c r="C143" s="113" t="s">
        <v>280</v>
      </c>
      <c r="D143" s="130" t="s">
        <v>3</v>
      </c>
      <c r="E143" s="130" t="s">
        <v>3</v>
      </c>
      <c r="F143" s="47" t="s">
        <v>281</v>
      </c>
      <c r="G143" s="38">
        <f>SUM(G144:G144)</f>
        <v>0</v>
      </c>
      <c r="H143" s="39">
        <f>SUM(H144:H144)</f>
        <v>58.56</v>
      </c>
      <c r="I143" s="143">
        <f>SUM(I144:I144)</f>
        <v>0</v>
      </c>
      <c r="J143" s="39">
        <f>SUM(J144:J144)</f>
        <v>58.56</v>
      </c>
    </row>
    <row r="144" spans="1:10" ht="13.5" hidden="1" thickBot="1">
      <c r="A144" s="365"/>
      <c r="B144" s="139"/>
      <c r="C144" s="141"/>
      <c r="D144" s="133">
        <v>2212</v>
      </c>
      <c r="E144" s="118">
        <v>6121</v>
      </c>
      <c r="F144" s="151" t="s">
        <v>64</v>
      </c>
      <c r="G144" s="101">
        <v>0</v>
      </c>
      <c r="H144" s="101">
        <f>43.56+15</f>
        <v>58.56</v>
      </c>
      <c r="I144" s="122"/>
      <c r="J144" s="101">
        <f>H144+I144</f>
        <v>58.56</v>
      </c>
    </row>
    <row r="145" spans="1:10" ht="12.75" hidden="1">
      <c r="A145" s="365"/>
      <c r="B145" s="129" t="s">
        <v>5</v>
      </c>
      <c r="C145" s="113" t="s">
        <v>282</v>
      </c>
      <c r="D145" s="130" t="s">
        <v>3</v>
      </c>
      <c r="E145" s="130" t="s">
        <v>3</v>
      </c>
      <c r="F145" s="47" t="s">
        <v>283</v>
      </c>
      <c r="G145" s="38">
        <f>SUM(G146:G146)</f>
        <v>0</v>
      </c>
      <c r="H145" s="39">
        <f>SUM(H146:H146)</f>
        <v>12</v>
      </c>
      <c r="I145" s="143">
        <f>SUM(I146:I146)</f>
        <v>0</v>
      </c>
      <c r="J145" s="39">
        <f>SUM(J146:J146)</f>
        <v>12</v>
      </c>
    </row>
    <row r="146" spans="1:10" ht="13.5" hidden="1" thickBot="1">
      <c r="A146" s="365"/>
      <c r="B146" s="139"/>
      <c r="C146" s="141"/>
      <c r="D146" s="133">
        <v>2212</v>
      </c>
      <c r="E146" s="118">
        <v>6121</v>
      </c>
      <c r="F146" s="151" t="s">
        <v>64</v>
      </c>
      <c r="G146" s="101">
        <v>0</v>
      </c>
      <c r="H146" s="101">
        <v>12</v>
      </c>
      <c r="I146" s="122"/>
      <c r="J146" s="101">
        <f>H146+I146</f>
        <v>12</v>
      </c>
    </row>
    <row r="147" spans="1:10" ht="12.75" hidden="1">
      <c r="A147" s="365"/>
      <c r="B147" s="129" t="s">
        <v>5</v>
      </c>
      <c r="C147" s="113" t="s">
        <v>284</v>
      </c>
      <c r="D147" s="130" t="s">
        <v>3</v>
      </c>
      <c r="E147" s="130" t="s">
        <v>3</v>
      </c>
      <c r="F147" s="47" t="s">
        <v>285</v>
      </c>
      <c r="G147" s="38">
        <f>SUM(G148:G148)</f>
        <v>0</v>
      </c>
      <c r="H147" s="39">
        <f>SUM(H148:H148)</f>
        <v>16</v>
      </c>
      <c r="I147" s="143">
        <f>SUM(I148:I148)</f>
        <v>0</v>
      </c>
      <c r="J147" s="39">
        <f>SUM(J148:J148)</f>
        <v>16</v>
      </c>
    </row>
    <row r="148" spans="1:10" ht="13.5" hidden="1" thickBot="1">
      <c r="A148" s="365"/>
      <c r="B148" s="139"/>
      <c r="C148" s="141"/>
      <c r="D148" s="133">
        <v>2212</v>
      </c>
      <c r="E148" s="118">
        <v>6121</v>
      </c>
      <c r="F148" s="151" t="s">
        <v>64</v>
      </c>
      <c r="G148" s="101">
        <v>0</v>
      </c>
      <c r="H148" s="101">
        <v>16</v>
      </c>
      <c r="I148" s="122"/>
      <c r="J148" s="101">
        <f>H148+I148</f>
        <v>16</v>
      </c>
    </row>
    <row r="149" spans="1:10" ht="12.75" hidden="1">
      <c r="A149" s="365"/>
      <c r="B149" s="129" t="s">
        <v>5</v>
      </c>
      <c r="C149" s="113" t="s">
        <v>286</v>
      </c>
      <c r="D149" s="130" t="s">
        <v>3</v>
      </c>
      <c r="E149" s="130" t="s">
        <v>3</v>
      </c>
      <c r="F149" s="47" t="s">
        <v>287</v>
      </c>
      <c r="G149" s="38">
        <f>SUM(G150:G150)</f>
        <v>0</v>
      </c>
      <c r="H149" s="39">
        <f>SUM(H150:H150)</f>
        <v>55.245</v>
      </c>
      <c r="I149" s="143">
        <f>SUM(I150:I150)</f>
        <v>0</v>
      </c>
      <c r="J149" s="39">
        <f>SUM(J150:J150)</f>
        <v>55.245</v>
      </c>
    </row>
    <row r="150" spans="1:10" ht="13.5" hidden="1" thickBot="1">
      <c r="A150" s="365"/>
      <c r="B150" s="139"/>
      <c r="C150" s="141"/>
      <c r="D150" s="136">
        <v>2212</v>
      </c>
      <c r="E150" s="136">
        <v>5169</v>
      </c>
      <c r="F150" s="148" t="s">
        <v>37</v>
      </c>
      <c r="G150" s="101">
        <v>0</v>
      </c>
      <c r="H150" s="101">
        <f>41.745+13.5</f>
        <v>55.245</v>
      </c>
      <c r="I150" s="122"/>
      <c r="J150" s="101">
        <f>H150+I150</f>
        <v>55.245</v>
      </c>
    </row>
    <row r="151" spans="1:10" ht="12.75" hidden="1">
      <c r="A151" s="365"/>
      <c r="B151" s="129" t="s">
        <v>5</v>
      </c>
      <c r="C151" s="113" t="s">
        <v>288</v>
      </c>
      <c r="D151" s="130" t="s">
        <v>3</v>
      </c>
      <c r="E151" s="130" t="s">
        <v>3</v>
      </c>
      <c r="F151" s="47" t="s">
        <v>289</v>
      </c>
      <c r="G151" s="38">
        <f>SUM(G152:G152)</f>
        <v>0</v>
      </c>
      <c r="H151" s="39">
        <f>SUM(H152:H152)</f>
        <v>30.25</v>
      </c>
      <c r="I151" s="143">
        <f>SUM(I152:I152)</f>
        <v>0</v>
      </c>
      <c r="J151" s="38">
        <f>SUM(J152:J152)</f>
        <v>30.25</v>
      </c>
    </row>
    <row r="152" spans="1:10" ht="13.5" hidden="1" thickBot="1">
      <c r="A152" s="365"/>
      <c r="B152" s="135"/>
      <c r="C152" s="142"/>
      <c r="D152" s="136">
        <v>2212</v>
      </c>
      <c r="E152" s="136">
        <v>5169</v>
      </c>
      <c r="F152" s="148" t="s">
        <v>37</v>
      </c>
      <c r="G152" s="101">
        <v>0</v>
      </c>
      <c r="H152" s="101">
        <v>30.25</v>
      </c>
      <c r="I152" s="122"/>
      <c r="J152" s="101">
        <f>H152+I152</f>
        <v>30.25</v>
      </c>
    </row>
    <row r="153" spans="1:10" ht="12.75" hidden="1">
      <c r="A153" s="365"/>
      <c r="B153" s="129" t="s">
        <v>5</v>
      </c>
      <c r="C153" s="113" t="s">
        <v>290</v>
      </c>
      <c r="D153" s="130" t="s">
        <v>3</v>
      </c>
      <c r="E153" s="130" t="s">
        <v>3</v>
      </c>
      <c r="F153" s="47" t="s">
        <v>291</v>
      </c>
      <c r="G153" s="38">
        <f>SUM(G154:G154)</f>
        <v>0</v>
      </c>
      <c r="H153" s="39">
        <f>SUM(H154:H154)</f>
        <v>30.25</v>
      </c>
      <c r="I153" s="143">
        <f>SUM(I154:I154)</f>
        <v>0</v>
      </c>
      <c r="J153" s="38">
        <f>SUM(J154:J154)</f>
        <v>30.25</v>
      </c>
    </row>
    <row r="154" spans="1:10" ht="13.5" hidden="1" thickBot="1">
      <c r="A154" s="365"/>
      <c r="B154" s="135"/>
      <c r="C154" s="142"/>
      <c r="D154" s="136">
        <v>2212</v>
      </c>
      <c r="E154" s="136">
        <v>5169</v>
      </c>
      <c r="F154" s="148" t="s">
        <v>37</v>
      </c>
      <c r="G154" s="101">
        <v>0</v>
      </c>
      <c r="H154" s="101">
        <v>30.25</v>
      </c>
      <c r="I154" s="122"/>
      <c r="J154" s="101">
        <f>H154+I154</f>
        <v>30.25</v>
      </c>
    </row>
    <row r="155" spans="1:10" ht="12.75" hidden="1">
      <c r="A155" s="365"/>
      <c r="B155" s="129" t="s">
        <v>5</v>
      </c>
      <c r="C155" s="113" t="s">
        <v>292</v>
      </c>
      <c r="D155" s="130" t="s">
        <v>3</v>
      </c>
      <c r="E155" s="130" t="s">
        <v>3</v>
      </c>
      <c r="F155" s="47" t="s">
        <v>293</v>
      </c>
      <c r="G155" s="38">
        <f>SUM(G156:G156)</f>
        <v>0</v>
      </c>
      <c r="H155" s="39">
        <f>SUM(H156:H156)</f>
        <v>30.25</v>
      </c>
      <c r="I155" s="143">
        <f>SUM(I156:I156)</f>
        <v>0</v>
      </c>
      <c r="J155" s="38">
        <f>SUM(J156:J156)</f>
        <v>30.25</v>
      </c>
    </row>
    <row r="156" spans="1:10" ht="13.5" hidden="1" thickBot="1">
      <c r="A156" s="365"/>
      <c r="B156" s="135"/>
      <c r="C156" s="142"/>
      <c r="D156" s="136">
        <v>2212</v>
      </c>
      <c r="E156" s="136">
        <v>5169</v>
      </c>
      <c r="F156" s="148" t="s">
        <v>37</v>
      </c>
      <c r="G156" s="101">
        <v>0</v>
      </c>
      <c r="H156" s="101">
        <v>30.25</v>
      </c>
      <c r="I156" s="122"/>
      <c r="J156" s="101">
        <f>H156+I156</f>
        <v>30.25</v>
      </c>
    </row>
    <row r="157" spans="1:10" ht="12.75" hidden="1">
      <c r="A157" s="365"/>
      <c r="B157" s="129" t="s">
        <v>5</v>
      </c>
      <c r="C157" s="113" t="s">
        <v>294</v>
      </c>
      <c r="D157" s="130" t="s">
        <v>3</v>
      </c>
      <c r="E157" s="130" t="s">
        <v>3</v>
      </c>
      <c r="F157" s="47" t="s">
        <v>295</v>
      </c>
      <c r="G157" s="39">
        <f>SUM(G158:G159)</f>
        <v>0</v>
      </c>
      <c r="H157" s="39">
        <f>SUM(H158:H159)</f>
        <v>39.25</v>
      </c>
      <c r="I157" s="143">
        <f>SUM(I158:I159)</f>
        <v>0</v>
      </c>
      <c r="J157" s="39">
        <f>SUM(J158:J159)</f>
        <v>39.25</v>
      </c>
    </row>
    <row r="158" spans="1:10" ht="12.75" hidden="1">
      <c r="A158" s="365"/>
      <c r="B158" s="135"/>
      <c r="C158" s="142"/>
      <c r="D158" s="136">
        <v>2212</v>
      </c>
      <c r="E158" s="136">
        <v>5169</v>
      </c>
      <c r="F158" s="148" t="s">
        <v>37</v>
      </c>
      <c r="G158" s="45">
        <v>0</v>
      </c>
      <c r="H158" s="45">
        <f>30.25+9</f>
        <v>39.25</v>
      </c>
      <c r="I158" s="150"/>
      <c r="J158" s="45">
        <f>H158+I158</f>
        <v>39.25</v>
      </c>
    </row>
    <row r="159" spans="1:10" ht="13.5" hidden="1" thickBot="1">
      <c r="A159" s="365"/>
      <c r="B159" s="131"/>
      <c r="C159" s="117"/>
      <c r="D159" s="118">
        <v>2212</v>
      </c>
      <c r="E159" s="176">
        <v>5171</v>
      </c>
      <c r="F159" s="177" t="s">
        <v>86</v>
      </c>
      <c r="G159" s="72">
        <v>0</v>
      </c>
      <c r="H159" s="50">
        <v>0</v>
      </c>
      <c r="I159" s="182"/>
      <c r="J159" s="72">
        <f>H159+I159</f>
        <v>0</v>
      </c>
    </row>
    <row r="160" spans="1:10" ht="12.75" hidden="1">
      <c r="A160" s="365"/>
      <c r="B160" s="129" t="s">
        <v>5</v>
      </c>
      <c r="C160" s="113" t="s">
        <v>296</v>
      </c>
      <c r="D160" s="130" t="s">
        <v>3</v>
      </c>
      <c r="E160" s="130" t="s">
        <v>3</v>
      </c>
      <c r="F160" s="47" t="s">
        <v>297</v>
      </c>
      <c r="G160" s="38">
        <f>SUM(G161:G161)</f>
        <v>0</v>
      </c>
      <c r="H160" s="39">
        <f>SUM(H161:H161)</f>
        <v>12</v>
      </c>
      <c r="I160" s="143">
        <f>SUM(I161:I161)</f>
        <v>0</v>
      </c>
      <c r="J160" s="38">
        <f>SUM(J161:J161)</f>
        <v>12</v>
      </c>
    </row>
    <row r="161" spans="1:10" ht="13.5" hidden="1" thickBot="1">
      <c r="A161" s="365"/>
      <c r="B161" s="139"/>
      <c r="C161" s="141"/>
      <c r="D161" s="133">
        <v>2212</v>
      </c>
      <c r="E161" s="133">
        <v>5169</v>
      </c>
      <c r="F161" s="147" t="s">
        <v>37</v>
      </c>
      <c r="G161" s="101">
        <v>0</v>
      </c>
      <c r="H161" s="101">
        <v>12</v>
      </c>
      <c r="I161" s="122"/>
      <c r="J161" s="101">
        <f>H161+I161</f>
        <v>12</v>
      </c>
    </row>
    <row r="162" spans="1:10" ht="12.75" hidden="1">
      <c r="A162" s="365"/>
      <c r="B162" s="129" t="s">
        <v>5</v>
      </c>
      <c r="C162" s="113" t="s">
        <v>298</v>
      </c>
      <c r="D162" s="130" t="s">
        <v>3</v>
      </c>
      <c r="E162" s="130" t="s">
        <v>3</v>
      </c>
      <c r="F162" s="47" t="s">
        <v>299</v>
      </c>
      <c r="G162" s="39">
        <f>SUM(G163:G163)</f>
        <v>0</v>
      </c>
      <c r="H162" s="39">
        <f>SUM(H163:H163)</f>
        <v>0</v>
      </c>
      <c r="I162" s="143">
        <f>SUM(I163:I163)</f>
        <v>0</v>
      </c>
      <c r="J162" s="39">
        <f>SUM(J163:J163)</f>
        <v>0</v>
      </c>
    </row>
    <row r="163" spans="1:10" ht="13.5" hidden="1" thickBot="1">
      <c r="A163" s="365"/>
      <c r="B163" s="131"/>
      <c r="C163" s="117"/>
      <c r="D163" s="118">
        <v>2212</v>
      </c>
      <c r="E163" s="176">
        <v>5171</v>
      </c>
      <c r="F163" s="177" t="s">
        <v>86</v>
      </c>
      <c r="G163" s="72">
        <v>0</v>
      </c>
      <c r="H163" s="50">
        <v>0</v>
      </c>
      <c r="I163" s="182"/>
      <c r="J163" s="72">
        <f>H163+I163</f>
        <v>0</v>
      </c>
    </row>
    <row r="164" spans="1:10" ht="12.75" hidden="1">
      <c r="A164" s="365"/>
      <c r="B164" s="129" t="s">
        <v>5</v>
      </c>
      <c r="C164" s="113" t="s">
        <v>300</v>
      </c>
      <c r="D164" s="130" t="s">
        <v>3</v>
      </c>
      <c r="E164" s="130" t="s">
        <v>3</v>
      </c>
      <c r="F164" s="47" t="s">
        <v>301</v>
      </c>
      <c r="G164" s="38">
        <f>SUM(G165:G165)</f>
        <v>0</v>
      </c>
      <c r="H164" s="39">
        <f>SUM(H165:H165)</f>
        <v>0</v>
      </c>
      <c r="I164" s="143">
        <f>SUM(I165:I165)</f>
        <v>0</v>
      </c>
      <c r="J164" s="38">
        <f>SUM(J165:J165)</f>
        <v>0</v>
      </c>
    </row>
    <row r="165" spans="1:10" ht="13.5" hidden="1" thickBot="1">
      <c r="A165" s="365"/>
      <c r="B165" s="139"/>
      <c r="C165" s="141"/>
      <c r="D165" s="133">
        <v>2212</v>
      </c>
      <c r="E165" s="133">
        <v>5169</v>
      </c>
      <c r="F165" s="177" t="s">
        <v>37</v>
      </c>
      <c r="G165" s="101">
        <v>0</v>
      </c>
      <c r="H165" s="101">
        <v>0</v>
      </c>
      <c r="I165" s="122"/>
      <c r="J165" s="101">
        <f>H165+I165</f>
        <v>0</v>
      </c>
    </row>
    <row r="166" spans="1:10" ht="12.75" hidden="1">
      <c r="A166" s="365"/>
      <c r="B166" s="129" t="s">
        <v>5</v>
      </c>
      <c r="C166" s="113" t="s">
        <v>302</v>
      </c>
      <c r="D166" s="130" t="s">
        <v>3</v>
      </c>
      <c r="E166" s="130" t="s">
        <v>3</v>
      </c>
      <c r="F166" s="47" t="s">
        <v>303</v>
      </c>
      <c r="G166" s="38">
        <f>SUM(G167:G167)</f>
        <v>0</v>
      </c>
      <c r="H166" s="39">
        <f>SUM(H167:H167)</f>
        <v>0</v>
      </c>
      <c r="I166" s="143">
        <f>SUM(I167:I167)</f>
        <v>0</v>
      </c>
      <c r="J166" s="38">
        <f>SUM(J167:J167)</f>
        <v>0</v>
      </c>
    </row>
    <row r="167" spans="1:10" ht="13.5" hidden="1" thickBot="1">
      <c r="A167" s="365"/>
      <c r="B167" s="139"/>
      <c r="C167" s="141"/>
      <c r="D167" s="133">
        <v>2212</v>
      </c>
      <c r="E167" s="133">
        <v>5169</v>
      </c>
      <c r="F167" s="177" t="s">
        <v>37</v>
      </c>
      <c r="G167" s="101">
        <v>0</v>
      </c>
      <c r="H167" s="101">
        <v>0</v>
      </c>
      <c r="I167" s="122"/>
      <c r="J167" s="101">
        <f>H167+I167</f>
        <v>0</v>
      </c>
    </row>
    <row r="168" spans="1:10" ht="12.75" hidden="1">
      <c r="A168" s="365"/>
      <c r="B168" s="129" t="s">
        <v>5</v>
      </c>
      <c r="C168" s="113" t="s">
        <v>304</v>
      </c>
      <c r="D168" s="130" t="s">
        <v>3</v>
      </c>
      <c r="E168" s="130" t="s">
        <v>3</v>
      </c>
      <c r="F168" s="47" t="s">
        <v>305</v>
      </c>
      <c r="G168" s="38">
        <f>SUM(G169:G169)</f>
        <v>0</v>
      </c>
      <c r="H168" s="39">
        <f>SUM(H169:H169)</f>
        <v>0</v>
      </c>
      <c r="I168" s="143">
        <f>SUM(I169:I169)</f>
        <v>0</v>
      </c>
      <c r="J168" s="38">
        <f>SUM(J169:J169)</f>
        <v>0</v>
      </c>
    </row>
    <row r="169" spans="1:10" ht="13.5" hidden="1" thickBot="1">
      <c r="A169" s="365"/>
      <c r="B169" s="139"/>
      <c r="C169" s="141"/>
      <c r="D169" s="133">
        <v>2212</v>
      </c>
      <c r="E169" s="133">
        <v>5169</v>
      </c>
      <c r="F169" s="177" t="s">
        <v>37</v>
      </c>
      <c r="G169" s="101">
        <v>0</v>
      </c>
      <c r="H169" s="101">
        <v>0</v>
      </c>
      <c r="I169" s="122"/>
      <c r="J169" s="101">
        <f>H169+I169</f>
        <v>0</v>
      </c>
    </row>
    <row r="170" spans="1:10" ht="12.75" hidden="1">
      <c r="A170" s="365"/>
      <c r="B170" s="129" t="s">
        <v>5</v>
      </c>
      <c r="C170" s="113" t="s">
        <v>306</v>
      </c>
      <c r="D170" s="130" t="s">
        <v>3</v>
      </c>
      <c r="E170" s="130" t="s">
        <v>3</v>
      </c>
      <c r="F170" s="47" t="s">
        <v>307</v>
      </c>
      <c r="G170" s="38">
        <f>SUM(G171:G171)</f>
        <v>0</v>
      </c>
      <c r="H170" s="39">
        <f>SUM(H171:H171)</f>
        <v>0</v>
      </c>
      <c r="I170" s="143">
        <f>SUM(I171:I171)</f>
        <v>0</v>
      </c>
      <c r="J170" s="38">
        <f>SUM(J171:J171)</f>
        <v>0</v>
      </c>
    </row>
    <row r="171" spans="1:10" ht="13.5" hidden="1" thickBot="1">
      <c r="A171" s="366"/>
      <c r="B171" s="139"/>
      <c r="C171" s="141"/>
      <c r="D171" s="133">
        <v>2212</v>
      </c>
      <c r="E171" s="133">
        <v>5169</v>
      </c>
      <c r="F171" s="177" t="s">
        <v>37</v>
      </c>
      <c r="G171" s="101">
        <v>0</v>
      </c>
      <c r="H171" s="101">
        <v>0</v>
      </c>
      <c r="I171" s="122"/>
      <c r="J171" s="101">
        <f>H171+I171</f>
        <v>0</v>
      </c>
    </row>
    <row r="172" ht="12.75">
      <c r="A172" s="302"/>
    </row>
  </sheetData>
  <sheetProtection/>
  <mergeCells count="13">
    <mergeCell ref="E7:E8"/>
    <mergeCell ref="F7:F8"/>
    <mergeCell ref="G7:G8"/>
    <mergeCell ref="H7:H8"/>
    <mergeCell ref="I7:J7"/>
    <mergeCell ref="A10:A171"/>
    <mergeCell ref="A1:J1"/>
    <mergeCell ref="A3:J3"/>
    <mergeCell ref="A5:J5"/>
    <mergeCell ref="A7:A8"/>
    <mergeCell ref="B7:B8"/>
    <mergeCell ref="C7:C8"/>
    <mergeCell ref="D7:D8"/>
  </mergeCells>
  <printOptions horizontalCentered="1"/>
  <pageMargins left="0.1968503937007874" right="0.1968503937007874" top="0.7874015748031497" bottom="0.3937007874015748" header="0" footer="0"/>
  <pageSetup horizontalDpi="600" verticalDpi="600" orientation="portrait" paperSize="9" scale="95" r:id="rId1"/>
  <headerFooter>
    <oddHeader>&amp;R&amp;F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2017-05-10T06:54:34Z</cp:lastPrinted>
  <dcterms:created xsi:type="dcterms:W3CDTF">2006-09-25T08:49:57Z</dcterms:created>
  <dcterms:modified xsi:type="dcterms:W3CDTF">2017-05-10T10:38:59Z</dcterms:modified>
  <cp:category/>
  <cp:version/>
  <cp:contentType/>
  <cp:contentStatus/>
</cp:coreProperties>
</file>