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3"/>
  </bookViews>
  <sheets>
    <sheet name="Bilance P+V" sheetId="1" r:id="rId1"/>
    <sheet name="914 06" sheetId="2" r:id="rId2"/>
    <sheet name="917 06" sheetId="3" r:id="rId3"/>
    <sheet name="920 06" sheetId="4" r:id="rId4"/>
  </sheets>
  <definedNames>
    <definedName name="_xlnm.Print_Titles" localSheetId="1">'914 06'!$7:$8</definedName>
    <definedName name="_xlnm.Print_Titles" localSheetId="2">'917 06'!$7:$8</definedName>
  </definedNames>
  <calcPr fullCalcOnLoad="1"/>
</workbook>
</file>

<file path=xl/sharedStrings.xml><?xml version="1.0" encoding="utf-8"?>
<sst xmlns="http://schemas.openxmlformats.org/spreadsheetml/2006/main" count="1003" uniqueCount="396">
  <si>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</si>
  <si>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</si>
  <si>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</si>
  <si>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</si>
  <si>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</si>
  <si>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</si>
  <si>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</si>
  <si>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</si>
  <si>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</si>
  <si>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</si>
  <si>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</si>
  <si>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</si>
  <si>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</si>
  <si>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</si>
  <si>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</si>
  <si>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</si>
  <si>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</si>
  <si>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</si>
  <si>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</si>
  <si>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</si>
  <si>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</si>
  <si>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</si>
  <si>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</si>
  <si>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</si>
  <si>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t>1-4xxx</t>
  </si>
  <si>
    <t>Ukazatel   (tis.Kč)</t>
  </si>
  <si>
    <t>5xxx</t>
  </si>
  <si>
    <t>6xxx</t>
  </si>
  <si>
    <t>5-6xxx</t>
  </si>
  <si>
    <t xml:space="preserve">V ý d a je   c e l k e m </t>
  </si>
  <si>
    <t>Bilance příjmů</t>
  </si>
  <si>
    <t>Bilance výdajů</t>
  </si>
  <si>
    <t>81xx</t>
  </si>
  <si>
    <t>správce rozpočtových výdajů = odbor dopravy</t>
  </si>
  <si>
    <t>415x</t>
  </si>
  <si>
    <t>Odbor dopravy</t>
  </si>
  <si>
    <t>DU</t>
  </si>
  <si>
    <t>06</t>
  </si>
  <si>
    <t>Kapitola 914 06 - Působnosti</t>
  </si>
  <si>
    <t>tis. Kč</t>
  </si>
  <si>
    <t xml:space="preserve">P Ů S O B N O S T I  </t>
  </si>
  <si>
    <t>běžné (neinvestiční) výdaje resortu celkem</t>
  </si>
  <si>
    <t>silniční doprava a hospodářství</t>
  </si>
  <si>
    <t>RU</t>
  </si>
  <si>
    <t>0610000000</t>
  </si>
  <si>
    <t>studie, dokumentace a služby</t>
  </si>
  <si>
    <t>nákup materiálu</t>
  </si>
  <si>
    <t>konzultační, poradenské a právní služby</t>
  </si>
  <si>
    <t>zpracování dat a služby - informační a komunikační technologie</t>
  </si>
  <si>
    <t>nákup ostatních služeb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</si>
  <si>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</si>
  <si>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</si>
  <si>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</si>
  <si>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</si>
  <si>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</si>
  <si>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</si>
  <si>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platby věcných břemen</t>
  </si>
  <si>
    <t>ostatní neinvestiční výdaje</t>
  </si>
  <si>
    <t>0662000000</t>
  </si>
  <si>
    <t>zahraniční spolupráce</t>
  </si>
  <si>
    <t>nákup služeb</t>
  </si>
  <si>
    <t>pohoštění</t>
  </si>
  <si>
    <t>bezpečnost silničního provozu</t>
  </si>
  <si>
    <t>0620000000</t>
  </si>
  <si>
    <t>krajský program BESIP</t>
  </si>
  <si>
    <t>0626000000</t>
  </si>
  <si>
    <t>kampaň "Nepřiměřená rychlost"</t>
  </si>
  <si>
    <t>nájemné</t>
  </si>
  <si>
    <t>dopravní obslužnost</t>
  </si>
  <si>
    <t>0650000000</t>
  </si>
  <si>
    <t>dopravní obslužnost autobusová - kraj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</si>
  <si>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</si>
  <si>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</si>
  <si>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</si>
  <si>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</si>
  <si>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</si>
  <si>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</si>
  <si>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</si>
  <si>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</si>
  <si>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</si>
  <si>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</si>
  <si>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</si>
  <si>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SR 2017</t>
  </si>
  <si>
    <t>UR I 2017</t>
  </si>
  <si>
    <t>UR II 2017</t>
  </si>
  <si>
    <t>ZDROJOVÁ  A VÝDAJOVÁ ČÁST ROZPOČTU LK 2017</t>
  </si>
  <si>
    <t>1. Daňové příjmy</t>
  </si>
  <si>
    <t>2. Nedaňové příjmy</t>
  </si>
  <si>
    <t>3. Kapitálové příjmy</t>
  </si>
  <si>
    <t>B/ Dotace a příspěvky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</si>
  <si>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</si>
  <si>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</si>
  <si>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Resort. účelové dotace (ze SR, st.fondů)</t>
  </si>
  <si>
    <t xml:space="preserve">   Dotace ze zahraničí</t>
  </si>
  <si>
    <t xml:space="preserve">   Dotace od obcí</t>
  </si>
  <si>
    <t xml:space="preserve">   Dotace od regionální rady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</si>
  <si>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</si>
  <si>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</si>
  <si>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obcí</t>
  </si>
  <si>
    <t xml:space="preserve">    Dotace od regionální rady</t>
  </si>
  <si>
    <t xml:space="preserve">    Dotace ze zahraničí</t>
  </si>
  <si>
    <t>423x</t>
  </si>
  <si>
    <t>1. Zapojení fondů z r. 2016</t>
  </si>
  <si>
    <t>2. Zapojení  zákl.běžného účtu z r. 2016</t>
  </si>
  <si>
    <t>3. Úvěr</t>
  </si>
  <si>
    <t>4. Uhrazené splátky dlouhod.půjč.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</si>
  <si>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</si>
  <si>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</si>
  <si>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</si>
  <si>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</si>
  <si>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</si>
  <si>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</si>
  <si>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</si>
  <si>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</si>
  <si>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</si>
  <si>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</si>
  <si>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</si>
  <si>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</si>
  <si>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</si>
  <si>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</si>
  <si>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</si>
  <si>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</si>
  <si>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</si>
  <si>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podlimitní věcná břemena</t>
  </si>
  <si>
    <t>0665000000</t>
  </si>
  <si>
    <t>Vedení majetkového účtu Silnice LK, a.s. - zaknihované akcie</t>
  </si>
  <si>
    <t>služby peněžních ústavů</t>
  </si>
  <si>
    <t>0650010000</t>
  </si>
  <si>
    <t>dopravní obslužnost autobusová - navýšení mezd řidičů dle nařízení vlády</t>
  </si>
  <si>
    <t>0663010000</t>
  </si>
  <si>
    <t>výdaje na veřejnou zakázku - dopravní obslužnost v LK</t>
  </si>
  <si>
    <t>ÚZ 27355</t>
  </si>
  <si>
    <t>výdaje na dopravní obslužnost drážní - železnice</t>
  </si>
  <si>
    <t>Kapitola 917 06 - Transfery</t>
  </si>
  <si>
    <t>tis.Kč</t>
  </si>
  <si>
    <t>T R A N S F E R Y</t>
  </si>
  <si>
    <t>běžné a kapitálové výdaje resortu celkem</t>
  </si>
  <si>
    <t>06700010000</t>
  </si>
  <si>
    <t>KORID LK, spol. s r.o.</t>
  </si>
  <si>
    <t>neinv.transfery nefin.podnikatel.subjektům-práv.osoby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</si>
  <si>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</si>
  <si>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</si>
  <si>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</si>
  <si>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</si>
  <si>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</si>
  <si>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</si>
  <si>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</si>
  <si>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</si>
  <si>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</si>
  <si>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</si>
  <si>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</si>
  <si>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</si>
  <si>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</si>
  <si>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</si>
  <si>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</si>
  <si>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</si>
  <si>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</si>
  <si>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</si>
  <si>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</si>
  <si>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06800093030</t>
  </si>
  <si>
    <t>Obec Rádlo - oprava lávky Rádlo, cyklotrasa Odra-Nisa</t>
  </si>
  <si>
    <t>06800100000</t>
  </si>
  <si>
    <t>Zubačka 2016</t>
  </si>
  <si>
    <t>neinvestiční transfery obecně prospěšným společnostem</t>
  </si>
  <si>
    <t>06800160000</t>
  </si>
  <si>
    <t>Zubačka 2017</t>
  </si>
  <si>
    <t>06800170000</t>
  </si>
  <si>
    <t>Jízdy historických tramvají a autobusů v roce 2017</t>
  </si>
  <si>
    <t>neinvestiční transfery spolkům</t>
  </si>
  <si>
    <t>06800180000</t>
  </si>
  <si>
    <t>Lužický motoráček 2017</t>
  </si>
  <si>
    <t>neinvestiční transfery nefinan.podnikatelským subjektům - p.o.</t>
  </si>
  <si>
    <t>06800190000</t>
  </si>
  <si>
    <t>S IDOLem na Benátskou!2017</t>
  </si>
  <si>
    <t>06800200000</t>
  </si>
  <si>
    <t>Historickým vlakem Českým rájem</t>
  </si>
  <si>
    <t>06800215103</t>
  </si>
  <si>
    <t>Jilemnice - zkapacitnění vod.zdroje Bátovka a Benecko, D.Štěpanice - likvidace odpadních vod - VHS</t>
  </si>
  <si>
    <t>ostatní investiční transfery veřejným rozpočtům územní úrovně</t>
  </si>
  <si>
    <t>06800070000</t>
  </si>
  <si>
    <t>Na kole jen s přilbou</t>
  </si>
  <si>
    <t>06800040000</t>
  </si>
  <si>
    <t>Integrovaný dopravní systém - DPMLJ</t>
  </si>
  <si>
    <t>investiční transfery nefinančním podnikatelským subjektům - právnickým osobám</t>
  </si>
  <si>
    <t>Kapitola 920 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</si>
  <si>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</si>
  <si>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</si>
  <si>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</si>
  <si>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</si>
  <si>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</si>
  <si>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</si>
  <si>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0690801601</t>
  </si>
  <si>
    <t>obnova a údržba alejí na Frýdlantsku</t>
  </si>
  <si>
    <t>neinvestiční transfery zřízeným příspěvkovým organizacím</t>
  </si>
  <si>
    <t>0690810000</t>
  </si>
  <si>
    <t>Velkoplošné opravy havarijních úseků komunikací</t>
  </si>
  <si>
    <t>nespecifikované rezervy</t>
  </si>
  <si>
    <t>0690820000</t>
  </si>
  <si>
    <t>Monitorování dopravy a určení hmotnosti vozidel na silnici II/262</t>
  </si>
  <si>
    <t>stavba nebo rekonstrukce silnice</t>
  </si>
  <si>
    <t>0690830000</t>
  </si>
  <si>
    <t>Cyklostezky v LK</t>
  </si>
  <si>
    <t>0690840000</t>
  </si>
  <si>
    <t>Rekonstrukce krajských silnic</t>
  </si>
  <si>
    <t>rezervy kapitálových výdajů</t>
  </si>
  <si>
    <t>Financování silnic II. a III. třídy ve vlastnictví kraje - 2015</t>
  </si>
  <si>
    <t>0683370000</t>
  </si>
  <si>
    <t>II/288 Podbozkov - Cimbál</t>
  </si>
  <si>
    <t>0683670000</t>
  </si>
  <si>
    <t>III/27716 Český Dub - havárie propustku</t>
  </si>
  <si>
    <t>budovy, haly a stavby</t>
  </si>
  <si>
    <t>0683790000</t>
  </si>
  <si>
    <t>III/28713 Hodkovice, podjezd pod mostem SŽDC</t>
  </si>
  <si>
    <t>0683900000</t>
  </si>
  <si>
    <t>II/278 Osečná</t>
  </si>
  <si>
    <t>Financování silnic II. a III. třídy ve vlastnictví kraje - 2016</t>
  </si>
  <si>
    <t>0683380000</t>
  </si>
  <si>
    <t>III/29011 Ludvíkov - Nové Město p. Smrkem</t>
  </si>
  <si>
    <t>opravy a udržování</t>
  </si>
  <si>
    <t>0683410000</t>
  </si>
  <si>
    <t>II/270 Doksy - Mimoň</t>
  </si>
  <si>
    <t>0683430000</t>
  </si>
  <si>
    <t>III/26317 Prysk - křižovatka s III/26318</t>
  </si>
  <si>
    <t>0683480000</t>
  </si>
  <si>
    <t>III/28115 Troskovice (Krčák, Vidlák)</t>
  </si>
  <si>
    <t>0683490000</t>
  </si>
  <si>
    <t>III/28116 Borek - Troskovice</t>
  </si>
  <si>
    <t>0683520000</t>
  </si>
  <si>
    <t>III/2923 Chuchelna</t>
  </si>
  <si>
    <t>0683530000</t>
  </si>
  <si>
    <t>III/29022 Josefův Důl</t>
  </si>
  <si>
    <t>0683960000</t>
  </si>
  <si>
    <t>III/2931 Horka u Staré Paky</t>
  </si>
  <si>
    <t>0683970000</t>
  </si>
  <si>
    <t>III/28626 Benecko</t>
  </si>
  <si>
    <t>0683980000</t>
  </si>
  <si>
    <t>III/27910 Soběslavice, havárie 2 propustků</t>
  </si>
  <si>
    <t>0683990000</t>
  </si>
  <si>
    <t>III/29035 Jindřichov nad Nisou, propustek</t>
  </si>
  <si>
    <t>0684010000</t>
  </si>
  <si>
    <t>III/29011 Ludvíkov pod Smrkem</t>
  </si>
  <si>
    <t>0684020000</t>
  </si>
  <si>
    <t xml:space="preserve">III/27250 ulice Liberecká, Chrastava </t>
  </si>
  <si>
    <t>0684180000</t>
  </si>
  <si>
    <t>II/290 Hejnice, odvodnění komunikace</t>
  </si>
  <si>
    <t>0684200000</t>
  </si>
  <si>
    <t>III/2783 Starý Dub - Janův Důl</t>
  </si>
  <si>
    <t>0684220000</t>
  </si>
  <si>
    <t>III/29058 Sklenařice - Jablonec nad Jizerou</t>
  </si>
  <si>
    <t>0684230000</t>
  </si>
  <si>
    <t>II/290 Bílý Potok, rekonstrukce silnice</t>
  </si>
  <si>
    <t>0684240000</t>
  </si>
  <si>
    <t>III/28626 Benecko - Mrklov</t>
  </si>
  <si>
    <t>0684250000</t>
  </si>
  <si>
    <t>II/292 Háje nad Jizerou, zajištění skály</t>
  </si>
  <si>
    <t>0684260000</t>
  </si>
  <si>
    <t>II/262 Horní Police</t>
  </si>
  <si>
    <t>0684290000</t>
  </si>
  <si>
    <t>III/2784 Liberec (ul. Č. mládeže) - sesuv svahu</t>
  </si>
  <si>
    <t>0684300000</t>
  </si>
  <si>
    <t>III/27019 Jablonné v Podještědí (od II/270 po III/27014)</t>
  </si>
  <si>
    <t>0684310000</t>
  </si>
  <si>
    <t>III/2895 Roztoky u Semil - havárie zdi</t>
  </si>
  <si>
    <t>0684360000</t>
  </si>
  <si>
    <t>III/27927 Pelešany - opěrná zeď</t>
  </si>
  <si>
    <t>0684370000</t>
  </si>
  <si>
    <t>III/27710 Trávníček, oprava propustku</t>
  </si>
  <si>
    <t>0684380000</t>
  </si>
  <si>
    <t>II/286 x II/284 Lomnice nad Popelkou - havárie zdi</t>
  </si>
  <si>
    <t>0684390000</t>
  </si>
  <si>
    <t>II/262 Horní Police - havárie opěrné zdi</t>
  </si>
  <si>
    <t>0684400000</t>
  </si>
  <si>
    <t>III/2627 Volfartice, oprava propustku</t>
  </si>
  <si>
    <t>0684410000</t>
  </si>
  <si>
    <t>Most 26320-1 a III/26320 ul. Lipová v Novém Boru</t>
  </si>
  <si>
    <t>0684420000</t>
  </si>
  <si>
    <t>III/2934 Žďár - hranice kraje</t>
  </si>
  <si>
    <t>0684430000</t>
  </si>
  <si>
    <t>Most 260-003, most přes Obrtku v Tuhani</t>
  </si>
  <si>
    <t>0684440000</t>
  </si>
  <si>
    <t>II/262 - deformace vozovky, Česká Lípa</t>
  </si>
  <si>
    <t>0684450000</t>
  </si>
  <si>
    <t>silnice k nádraží v Nové Vsi nad Popelkou III/2848A</t>
  </si>
  <si>
    <t>Financování silnic II. a III. třídy ve vlastnictví kraje - 2017</t>
  </si>
  <si>
    <t>0683330000</t>
  </si>
  <si>
    <t>opravy silnic II. a III. tříd</t>
  </si>
  <si>
    <t>(ÚZ 91252)</t>
  </si>
  <si>
    <t>(ÚZ 91628)</t>
  </si>
  <si>
    <t>0683340000</t>
  </si>
  <si>
    <t>III/2719 Hrádek n. N. - Oldřichov na Hranicích</t>
  </si>
  <si>
    <t>budovy, haly, stavby</t>
  </si>
  <si>
    <t>0683400000</t>
  </si>
  <si>
    <t>III/03520 Dlouhý Most - Javorník</t>
  </si>
  <si>
    <t>0683500000</t>
  </si>
  <si>
    <t>III/28115 hranice LB kraje - Troskovice</t>
  </si>
  <si>
    <t>0684460000</t>
  </si>
  <si>
    <t>III/29047 Desná (protržená přehrada), rekonstrukce silnice</t>
  </si>
  <si>
    <t>0684470000</t>
  </si>
  <si>
    <t>II/270 Pertoltice pod Ralskem - protismykové vlastnosti</t>
  </si>
  <si>
    <t>0684480000</t>
  </si>
  <si>
    <t>Most č. 282-005 - pod Týnem v Rovensku p. Troskami</t>
  </si>
  <si>
    <t>0684490000</t>
  </si>
  <si>
    <t>Liberec - ul. České mládeže - bývalá III/2784</t>
  </si>
  <si>
    <t>0684500000</t>
  </si>
  <si>
    <t>III/27244 Janovice v Podještědí, havárie opěrné zdi</t>
  </si>
  <si>
    <t>0684510000</t>
  </si>
  <si>
    <t>Most ev.č. 260-006 přes Obrtku v Tuhani</t>
  </si>
  <si>
    <t>0684520000</t>
  </si>
  <si>
    <t>III/27110 Oldřichov na Hranicích</t>
  </si>
  <si>
    <t>0684530000</t>
  </si>
  <si>
    <t>III/27250 Liberec, ul. Hrádecká, rekonstrukce silnice</t>
  </si>
  <si>
    <t>0684540000</t>
  </si>
  <si>
    <t>II/284 Nová Ves nad Popelkou, rekonstrukce opěrné zdi</t>
  </si>
  <si>
    <t>0684550000</t>
  </si>
  <si>
    <t>III/29050 Desná (Sladká Díra), havárie propustku</t>
  </si>
  <si>
    <t>0684560000</t>
  </si>
  <si>
    <t>III/29022 Hrabětice - Josefův Důl</t>
  </si>
  <si>
    <t>0684570000</t>
  </si>
  <si>
    <t>Most ev.č. 2893-1 Semily</t>
  </si>
  <si>
    <t>0684580000</t>
  </si>
  <si>
    <t>II/278 Osečná (Kotel), oprava propustku</t>
  </si>
  <si>
    <t>0684590000</t>
  </si>
  <si>
    <t>II/278 Kotel, havárie propustku</t>
  </si>
  <si>
    <t>0684600000</t>
  </si>
  <si>
    <t>III/27243 Zdislava, rekonstrukce opěrné zdi</t>
  </si>
  <si>
    <t>0684610000</t>
  </si>
  <si>
    <t>III/27926 Kacanovy, rekonstrukce propustku</t>
  </si>
  <si>
    <t>0684620000</t>
  </si>
  <si>
    <t>II/277 Český Dub, rekonstrukce propustku</t>
  </si>
  <si>
    <t>0684630000</t>
  </si>
  <si>
    <t>Most ev.č. 2903-1 Raspenava, rekonstrukce mostu</t>
  </si>
  <si>
    <t>0684640000</t>
  </si>
  <si>
    <t>III/26833 Srní u České Lípy - křižovatka s I/9</t>
  </si>
  <si>
    <t>0684650000</t>
  </si>
  <si>
    <t>III/2601 Zahrádky - Sosnová</t>
  </si>
  <si>
    <t>0684660000</t>
  </si>
  <si>
    <t>III/26832 Brenná - Srní u České Lípy</t>
  </si>
  <si>
    <t>0684670000</t>
  </si>
  <si>
    <t>III/2711 Chotyně, havárie opěrné zdi</t>
  </si>
  <si>
    <t>0684680000</t>
  </si>
  <si>
    <t>III/2791 Jivina, oprava propustku</t>
  </si>
  <si>
    <t>0684690000</t>
  </si>
  <si>
    <t>III/2713 Dolní Suchá - křižovatka s I/13</t>
  </si>
  <si>
    <t>0684700000</t>
  </si>
  <si>
    <t>III/26320 Polevsko</t>
  </si>
  <si>
    <t>0684710000</t>
  </si>
  <si>
    <t>III/2627 Volfartice</t>
  </si>
  <si>
    <t>0684720000</t>
  </si>
  <si>
    <t>III/26214 a III/2625 Stružnice - Bořetín</t>
  </si>
  <si>
    <t>0684730000</t>
  </si>
  <si>
    <t>II/268 Mimoň, ulice Českolipská</t>
  </si>
  <si>
    <t>0684740000</t>
  </si>
  <si>
    <t>III/28626 Benecko II.</t>
  </si>
  <si>
    <t>0684750000</t>
  </si>
  <si>
    <t>III/01020 Harrachov - Mýtiny</t>
  </si>
  <si>
    <t>0684760000</t>
  </si>
  <si>
    <t>II/278 Hamr na Jezeře - Stráž pod Ralskem</t>
  </si>
  <si>
    <t>0684770000</t>
  </si>
  <si>
    <t>III/2951 Martinice v Krkonoších</t>
  </si>
  <si>
    <t>0684780000</t>
  </si>
  <si>
    <t>III/29056 Paseky nad Jizerou</t>
  </si>
  <si>
    <t>0684790000</t>
  </si>
  <si>
    <t>II/283 Turnov - Bělá</t>
  </si>
  <si>
    <t>0684800000</t>
  </si>
  <si>
    <t>III/28745 Zásada</t>
  </si>
  <si>
    <t>0684810000</t>
  </si>
  <si>
    <t>III/29036 Horní Maxov - křižovatka s III/29035</t>
  </si>
  <si>
    <t>0684820000</t>
  </si>
  <si>
    <t>III/29035 Jindřichov - křižovatka s III/29032</t>
  </si>
  <si>
    <t>0684830000</t>
  </si>
  <si>
    <t>III/2885 Vlastiboř</t>
  </si>
  <si>
    <t>0684840000</t>
  </si>
  <si>
    <t>III/28621 Víchová nad Jizerou, rekonstrukce opěrné zdi</t>
  </si>
  <si>
    <t>0684850000</t>
  </si>
  <si>
    <t>III/01023 Harrachov</t>
  </si>
  <si>
    <t>0684860000</t>
  </si>
  <si>
    <t>III/29042 Albrechtice v JH - Jiřetín pod Bukovou</t>
  </si>
  <si>
    <t>Změna rozpočtu - rozpočtové opatření č. 219/17</t>
  </si>
  <si>
    <t>21.změna-RO č. 219/17</t>
  </si>
  <si>
    <t>4.změna-RO č. 219/17</t>
  </si>
  <si>
    <t>8.změna-RO č. 219/17</t>
  </si>
  <si>
    <t>Projekt a stavba části zelené cyklomagistrály Ploučnice v intravilánu obce Stružnice</t>
  </si>
  <si>
    <t>Stavba smíšené stezky pro pěší a cyklisty přes OK mezi Stráží p./R. a Dubnicí</t>
  </si>
  <si>
    <t>Oprava cyklotrasy K8, úsek Jestřabí - Zabylý</t>
  </si>
  <si>
    <t>Dubnice – projektová příprava pro smíšenou stezku pro chodce a cyklisty</t>
  </si>
  <si>
    <t>investiční transfery obcím</t>
  </si>
  <si>
    <t>PD a získání stavebního povolení – most přes Lužickou Nisu</t>
  </si>
  <si>
    <t>06800224018</t>
  </si>
  <si>
    <t>06800234009</t>
  </si>
  <si>
    <t>06800244049</t>
  </si>
  <si>
    <t>06800252007</t>
  </si>
  <si>
    <t>06800265025</t>
  </si>
  <si>
    <t>0690850000</t>
  </si>
  <si>
    <t>0690860000</t>
  </si>
  <si>
    <t>PD cyklostezka Svaté Zdislavy a získání stavebního povolení – úsek Cvikov-Svor</t>
  </si>
  <si>
    <t>PD Odra - Nisa v lokalitě Chotyně - U Hrabarů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</si>
</sst>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name val="Arial CE"/>
      <family val="0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4" fontId="4" fillId="0" borderId="26" xfId="51" applyNumberFormat="1" applyFont="1" applyFill="1" applyBorder="1" applyAlignment="1">
      <alignment vertical="center"/>
      <protection/>
    </xf>
    <xf numFmtId="4" fontId="1" fillId="0" borderId="27" xfId="51" applyNumberFormat="1" applyFont="1" applyFill="1" applyBorder="1" applyAlignment="1">
      <alignment vertical="center"/>
      <protection/>
    </xf>
    <xf numFmtId="4" fontId="1" fillId="0" borderId="27" xfId="50" applyNumberFormat="1" applyFont="1" applyFill="1" applyBorder="1" applyAlignment="1">
      <alignment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0" fontId="4" fillId="0" borderId="28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4" fontId="8" fillId="0" borderId="24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4" fillId="0" borderId="29" xfId="50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50" applyFont="1" applyBorder="1" applyAlignment="1">
      <alignment horizontal="center" vertical="center"/>
      <protection/>
    </xf>
    <xf numFmtId="0" fontId="4" fillId="0" borderId="31" xfId="50" applyFont="1" applyBorder="1" applyAlignment="1">
      <alignment horizontal="center" vertical="center"/>
      <protection/>
    </xf>
    <xf numFmtId="4" fontId="4" fillId="0" borderId="10" xfId="50" applyNumberFormat="1" applyFont="1" applyFill="1" applyBorder="1" applyAlignment="1">
      <alignment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0" fontId="31" fillId="0" borderId="32" xfId="50" applyFont="1" applyBorder="1" applyAlignment="1">
      <alignment horizontal="center" vertical="center"/>
      <protection/>
    </xf>
    <xf numFmtId="49" fontId="31" fillId="0" borderId="23" xfId="50" applyNumberFormat="1" applyFont="1" applyBorder="1" applyAlignment="1">
      <alignment horizontal="center" vertical="center"/>
      <protection/>
    </xf>
    <xf numFmtId="0" fontId="31" fillId="0" borderId="23" xfId="50" applyFont="1" applyBorder="1" applyAlignment="1">
      <alignment horizontal="center" vertical="center"/>
      <protection/>
    </xf>
    <xf numFmtId="0" fontId="31" fillId="0" borderId="12" xfId="50" applyFont="1" applyBorder="1" applyAlignment="1">
      <alignment vertical="center"/>
      <protection/>
    </xf>
    <xf numFmtId="4" fontId="31" fillId="0" borderId="10" xfId="50" applyNumberFormat="1" applyFont="1" applyFill="1" applyBorder="1" applyAlignment="1">
      <alignment vertical="center"/>
      <protection/>
    </xf>
    <xf numFmtId="4" fontId="31" fillId="0" borderId="11" xfId="50" applyNumberFormat="1" applyFont="1" applyFill="1" applyBorder="1" applyAlignment="1">
      <alignment vertical="center"/>
      <protection/>
    </xf>
    <xf numFmtId="0" fontId="32" fillId="0" borderId="33" xfId="50" applyFont="1" applyBorder="1" applyAlignment="1">
      <alignment horizontal="center" vertical="center"/>
      <protection/>
    </xf>
    <xf numFmtId="49" fontId="32" fillId="0" borderId="15" xfId="50" applyNumberFormat="1" applyFont="1" applyBorder="1" applyAlignment="1">
      <alignment horizontal="center" vertical="center"/>
      <protection/>
    </xf>
    <xf numFmtId="0" fontId="32" fillId="0" borderId="15" xfId="50" applyFont="1" applyBorder="1" applyAlignment="1">
      <alignment horizontal="center" vertical="center"/>
      <protection/>
    </xf>
    <xf numFmtId="0" fontId="32" fillId="0" borderId="34" xfId="50" applyFont="1" applyBorder="1" applyAlignment="1">
      <alignment vertical="center"/>
      <protection/>
    </xf>
    <xf numFmtId="4" fontId="32" fillId="0" borderId="26" xfId="50" applyNumberFormat="1" applyFont="1" applyFill="1" applyBorder="1" applyAlignment="1">
      <alignment vertical="center"/>
      <protection/>
    </xf>
    <xf numFmtId="0" fontId="1" fillId="0" borderId="35" xfId="50" applyFont="1" applyBorder="1" applyAlignment="1">
      <alignment horizontal="center" vertical="center"/>
      <protection/>
    </xf>
    <xf numFmtId="49" fontId="1" fillId="0" borderId="24" xfId="50" applyNumberFormat="1" applyFont="1" applyBorder="1" applyAlignment="1">
      <alignment horizontal="center" vertical="center"/>
      <protection/>
    </xf>
    <xf numFmtId="0" fontId="1" fillId="0" borderId="24" xfId="50" applyFont="1" applyBorder="1" applyAlignment="1">
      <alignment horizontal="center" vertical="center"/>
      <protection/>
    </xf>
    <xf numFmtId="0" fontId="1" fillId="0" borderId="19" xfId="50" applyFont="1" applyBorder="1" applyAlignment="1">
      <alignment horizontal="center" vertical="center"/>
      <protection/>
    </xf>
    <xf numFmtId="0" fontId="1" fillId="0" borderId="18" xfId="50" applyFont="1" applyBorder="1" applyAlignment="1">
      <alignment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4" fontId="1" fillId="0" borderId="36" xfId="50" applyNumberFormat="1" applyFont="1" applyFill="1" applyBorder="1" applyAlignment="1">
      <alignment vertical="center"/>
      <protection/>
    </xf>
    <xf numFmtId="4" fontId="1" fillId="0" borderId="37" xfId="50" applyNumberFormat="1" applyFont="1" applyFill="1" applyBorder="1" applyAlignment="1">
      <alignment vertical="center"/>
      <protection/>
    </xf>
    <xf numFmtId="0" fontId="1" fillId="0" borderId="18" xfId="50" applyFont="1" applyBorder="1" applyAlignment="1">
      <alignment horizontal="center" vertical="center"/>
      <protection/>
    </xf>
    <xf numFmtId="0" fontId="1" fillId="0" borderId="38" xfId="50" applyFont="1" applyBorder="1" applyAlignment="1">
      <alignment vertical="center"/>
      <protection/>
    </xf>
    <xf numFmtId="0" fontId="32" fillId="0" borderId="39" xfId="50" applyFont="1" applyBorder="1" applyAlignment="1">
      <alignment horizontal="center" vertical="center"/>
      <protection/>
    </xf>
    <xf numFmtId="49" fontId="32" fillId="0" borderId="19" xfId="50" applyNumberFormat="1" applyFont="1" applyBorder="1" applyAlignment="1">
      <alignment horizontal="center" vertical="center"/>
      <protection/>
    </xf>
    <xf numFmtId="0" fontId="32" fillId="0" borderId="19" xfId="50" applyFont="1" applyBorder="1" applyAlignment="1">
      <alignment horizontal="center" vertical="center"/>
      <protection/>
    </xf>
    <xf numFmtId="0" fontId="32" fillId="0" borderId="18" xfId="50" applyFont="1" applyBorder="1" applyAlignment="1">
      <alignment vertical="center"/>
      <protection/>
    </xf>
    <xf numFmtId="4" fontId="32" fillId="0" borderId="17" xfId="50" applyNumberFormat="1" applyFont="1" applyFill="1" applyBorder="1" applyAlignment="1">
      <alignment vertical="center"/>
      <protection/>
    </xf>
    <xf numFmtId="0" fontId="1" fillId="0" borderId="39" xfId="50" applyFont="1" applyBorder="1" applyAlignment="1">
      <alignment horizontal="center" vertical="center"/>
      <protection/>
    </xf>
    <xf numFmtId="49" fontId="1" fillId="0" borderId="19" xfId="50" applyNumberFormat="1" applyFont="1" applyBorder="1" applyAlignment="1">
      <alignment horizontal="center" vertical="center"/>
      <protection/>
    </xf>
    <xf numFmtId="0" fontId="1" fillId="0" borderId="18" xfId="51" applyFont="1" applyBorder="1" applyAlignment="1">
      <alignment vertical="center"/>
      <protection/>
    </xf>
    <xf numFmtId="4" fontId="1" fillId="0" borderId="21" xfId="50" applyNumberFormat="1" applyFont="1" applyFill="1" applyBorder="1" applyAlignment="1">
      <alignment vertical="center"/>
      <protection/>
    </xf>
    <xf numFmtId="0" fontId="32" fillId="0" borderId="39" xfId="50" applyFont="1" applyFill="1" applyBorder="1" applyAlignment="1">
      <alignment horizontal="center" vertical="center"/>
      <protection/>
    </xf>
    <xf numFmtId="0" fontId="32" fillId="0" borderId="40" xfId="50" applyFont="1" applyFill="1" applyBorder="1" applyAlignment="1">
      <alignment horizontal="center" vertical="center"/>
      <protection/>
    </xf>
    <xf numFmtId="49" fontId="32" fillId="0" borderId="41" xfId="50" applyNumberFormat="1" applyFont="1" applyBorder="1" applyAlignment="1">
      <alignment horizontal="center" vertical="center"/>
      <protection/>
    </xf>
    <xf numFmtId="0" fontId="1" fillId="0" borderId="14" xfId="50" applyFont="1" applyBorder="1" applyAlignment="1">
      <alignment vertical="center"/>
      <protection/>
    </xf>
    <xf numFmtId="4" fontId="32" fillId="0" borderId="37" xfId="51" applyNumberFormat="1" applyFont="1" applyFill="1" applyBorder="1" applyAlignment="1">
      <alignment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38" xfId="51" applyFont="1" applyBorder="1" applyAlignment="1">
      <alignment vertical="center"/>
      <protection/>
    </xf>
    <xf numFmtId="0" fontId="1" fillId="0" borderId="41" xfId="50" applyFont="1" applyBorder="1" applyAlignment="1">
      <alignment horizontal="center" vertical="center"/>
      <protection/>
    </xf>
    <xf numFmtId="4" fontId="1" fillId="0" borderId="42" xfId="50" applyNumberFormat="1" applyFont="1" applyFill="1" applyBorder="1" applyAlignment="1">
      <alignment vertical="center"/>
      <protection/>
    </xf>
    <xf numFmtId="49" fontId="1" fillId="0" borderId="43" xfId="50" applyNumberFormat="1" applyFont="1" applyBorder="1" applyAlignment="1">
      <alignment horizontal="center" vertical="center"/>
      <protection/>
    </xf>
    <xf numFmtId="0" fontId="1" fillId="0" borderId="43" xfId="50" applyFont="1" applyBorder="1" applyAlignment="1">
      <alignment horizontal="center" vertical="center"/>
      <protection/>
    </xf>
    <xf numFmtId="0" fontId="1" fillId="0" borderId="44" xfId="50" applyFont="1" applyBorder="1" applyAlignment="1">
      <alignment vertical="center"/>
      <protection/>
    </xf>
    <xf numFmtId="4" fontId="1" fillId="0" borderId="45" xfId="50" applyNumberFormat="1" applyFont="1" applyFill="1" applyBorder="1" applyAlignment="1">
      <alignment vertical="center"/>
      <protection/>
    </xf>
    <xf numFmtId="0" fontId="31" fillId="0" borderId="32" xfId="50" applyFont="1" applyFill="1" applyBorder="1" applyAlignment="1">
      <alignment horizontal="center" vertical="center"/>
      <protection/>
    </xf>
    <xf numFmtId="0" fontId="32" fillId="0" borderId="33" xfId="50" applyFont="1" applyFill="1" applyBorder="1" applyAlignment="1">
      <alignment horizontal="center"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0" fontId="1" fillId="0" borderId="20" xfId="50" applyFont="1" applyBorder="1" applyAlignment="1">
      <alignment vertical="center"/>
      <protection/>
    </xf>
    <xf numFmtId="0" fontId="32" fillId="0" borderId="35" xfId="50" applyFont="1" applyFill="1" applyBorder="1" applyAlignment="1">
      <alignment horizontal="center" vertical="center"/>
      <protection/>
    </xf>
    <xf numFmtId="49" fontId="32" fillId="0" borderId="24" xfId="50" applyNumberFormat="1" applyFont="1" applyBorder="1" applyAlignment="1">
      <alignment horizontal="center" vertical="center"/>
      <protection/>
    </xf>
    <xf numFmtId="0" fontId="32" fillId="0" borderId="24" xfId="50" applyFont="1" applyBorder="1" applyAlignment="1">
      <alignment horizontal="center" vertical="center"/>
      <protection/>
    </xf>
    <xf numFmtId="0" fontId="32" fillId="0" borderId="14" xfId="50" applyFont="1" applyBorder="1" applyAlignment="1">
      <alignment vertical="center"/>
      <protection/>
    </xf>
    <xf numFmtId="4" fontId="32" fillId="0" borderId="46" xfId="50" applyNumberFormat="1" applyFont="1" applyFill="1" applyBorder="1" applyAlignment="1">
      <alignment vertical="center"/>
      <protection/>
    </xf>
    <xf numFmtId="0" fontId="32" fillId="0" borderId="18" xfId="50" applyFont="1" applyBorder="1" applyAlignment="1">
      <alignment vertical="center" wrapText="1"/>
      <protection/>
    </xf>
    <xf numFmtId="0" fontId="32" fillId="0" borderId="18" xfId="50" applyFont="1" applyFill="1" applyBorder="1" applyAlignment="1">
      <alignment vertical="center"/>
      <protection/>
    </xf>
    <xf numFmtId="0" fontId="1" fillId="0" borderId="40" xfId="50" applyFont="1" applyBorder="1" applyAlignment="1">
      <alignment horizontal="center" vertical="center"/>
      <protection/>
    </xf>
    <xf numFmtId="49" fontId="1" fillId="0" borderId="41" xfId="50" applyNumberFormat="1" applyFont="1" applyBorder="1" applyAlignment="1">
      <alignment horizontal="center" vertical="center"/>
      <protection/>
    </xf>
    <xf numFmtId="0" fontId="1" fillId="0" borderId="47" xfId="50" applyFont="1" applyBorder="1" applyAlignment="1">
      <alignment horizontal="center" vertical="center"/>
      <protection/>
    </xf>
    <xf numFmtId="4" fontId="1" fillId="0" borderId="17" xfId="51" applyNumberFormat="1" applyFont="1" applyBorder="1" applyAlignment="1">
      <alignment vertical="center"/>
      <protection/>
    </xf>
    <xf numFmtId="0" fontId="7" fillId="0" borderId="48" xfId="0" applyFont="1" applyBorder="1" applyAlignment="1">
      <alignment vertical="center" wrapText="1"/>
    </xf>
    <xf numFmtId="0" fontId="7" fillId="0" borderId="37" xfId="0" applyFont="1" applyBorder="1" applyAlignment="1">
      <alignment horizontal="right" vertical="center" wrapText="1"/>
    </xf>
    <xf numFmtId="0" fontId="8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8" fillId="0" borderId="49" xfId="0" applyFont="1" applyBorder="1" applyAlignment="1">
      <alignment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171" fontId="8" fillId="0" borderId="24" xfId="0" applyNumberFormat="1" applyFont="1" applyBorder="1" applyAlignment="1">
      <alignment horizontal="righ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right" vertical="center" wrapText="1"/>
    </xf>
    <xf numFmtId="0" fontId="32" fillId="0" borderId="24" xfId="51" applyFont="1" applyBorder="1" applyAlignment="1">
      <alignment horizontal="center" vertical="center"/>
      <protection/>
    </xf>
    <xf numFmtId="0" fontId="32" fillId="0" borderId="14" xfId="51" applyFont="1" applyBorder="1" applyAlignment="1">
      <alignment vertical="center"/>
      <protection/>
    </xf>
    <xf numFmtId="4" fontId="32" fillId="0" borderId="37" xfId="50" applyNumberFormat="1" applyFont="1" applyFill="1" applyBorder="1" applyAlignment="1">
      <alignment vertical="center"/>
      <protection/>
    </xf>
    <xf numFmtId="0" fontId="1" fillId="0" borderId="44" xfId="51" applyFont="1" applyFill="1" applyBorder="1" applyAlignment="1">
      <alignment horizontal="center" vertical="center"/>
      <protection/>
    </xf>
    <xf numFmtId="0" fontId="1" fillId="0" borderId="44" xfId="51" applyFont="1" applyBorder="1" applyAlignment="1">
      <alignment vertical="center"/>
      <protection/>
    </xf>
    <xf numFmtId="0" fontId="32" fillId="0" borderId="35" xfId="50" applyFont="1" applyBorder="1" applyAlignment="1">
      <alignment horizontal="center" vertical="center"/>
      <protection/>
    </xf>
    <xf numFmtId="0" fontId="32" fillId="0" borderId="14" xfId="50" applyFont="1" applyBorder="1" applyAlignment="1">
      <alignment vertical="center" wrapText="1"/>
      <protection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2" fontId="1" fillId="17" borderId="51" xfId="50" applyNumberFormat="1" applyFont="1" applyFill="1" applyBorder="1" applyAlignment="1">
      <alignment horizontal="center" vertical="center"/>
      <protection/>
    </xf>
    <xf numFmtId="4" fontId="1" fillId="0" borderId="37" xfId="50" applyNumberFormat="1" applyFont="1" applyFill="1" applyBorder="1" applyAlignment="1">
      <alignment/>
      <protection/>
    </xf>
    <xf numFmtId="0" fontId="4" fillId="0" borderId="28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4" fontId="4" fillId="0" borderId="26" xfId="50" applyNumberFormat="1" applyFont="1" applyFill="1" applyBorder="1" applyAlignment="1">
      <alignment vertical="center"/>
      <protection/>
    </xf>
    <xf numFmtId="1" fontId="1" fillId="0" borderId="52" xfId="51" applyNumberFormat="1" applyFont="1" applyFill="1" applyBorder="1" applyAlignment="1">
      <alignment horizontal="center" vertical="center"/>
      <protection/>
    </xf>
    <xf numFmtId="0" fontId="4" fillId="0" borderId="34" xfId="51" applyFont="1" applyFill="1" applyBorder="1" applyAlignment="1">
      <alignment vertical="center" wrapText="1"/>
      <protection/>
    </xf>
    <xf numFmtId="1" fontId="1" fillId="0" borderId="53" xfId="51" applyNumberFormat="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vertical="center"/>
      <protection/>
    </xf>
    <xf numFmtId="49" fontId="4" fillId="0" borderId="34" xfId="51" applyNumberFormat="1" applyFont="1" applyFill="1" applyBorder="1" applyAlignment="1">
      <alignment horizontal="center" vertical="center"/>
      <protection/>
    </xf>
    <xf numFmtId="0" fontId="30" fillId="0" borderId="0" xfId="52" applyFont="1" applyAlignment="1">
      <alignment vertical="center"/>
      <protection/>
    </xf>
    <xf numFmtId="49" fontId="35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2" xfId="50" applyFont="1" applyBorder="1" applyAlignment="1">
      <alignment horizontal="center" vertical="center"/>
      <protection/>
    </xf>
    <xf numFmtId="0" fontId="4" fillId="0" borderId="23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0" fontId="4" fillId="0" borderId="54" xfId="50" applyFont="1" applyBorder="1" applyAlignment="1">
      <alignment horizontal="center" vertical="center"/>
      <protection/>
    </xf>
    <xf numFmtId="0" fontId="4" fillId="0" borderId="15" xfId="50" applyFont="1" applyBorder="1" applyAlignment="1" quotePrefix="1">
      <alignment horizontal="center" vertical="center"/>
      <protection/>
    </xf>
    <xf numFmtId="0" fontId="4" fillId="0" borderId="15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vertical="center"/>
      <protection/>
    </xf>
    <xf numFmtId="0" fontId="33" fillId="0" borderId="55" xfId="50" applyFont="1" applyFill="1" applyBorder="1" applyAlignment="1">
      <alignment horizontal="center" vertical="center"/>
      <protection/>
    </xf>
    <xf numFmtId="49" fontId="5" fillId="0" borderId="52" xfId="50" applyNumberFormat="1" applyFont="1" applyFill="1" applyBorder="1" applyAlignment="1">
      <alignment horizontal="center" vertical="center"/>
      <protection/>
    </xf>
    <xf numFmtId="0" fontId="1" fillId="0" borderId="52" xfId="50" applyFont="1" applyFill="1" applyBorder="1" applyAlignment="1">
      <alignment horizontal="center" vertical="center"/>
      <protection/>
    </xf>
    <xf numFmtId="0" fontId="1" fillId="0" borderId="52" xfId="50" applyFont="1" applyBorder="1" applyAlignment="1">
      <alignment horizontal="center" vertical="center"/>
      <protection/>
    </xf>
    <xf numFmtId="0" fontId="1" fillId="0" borderId="53" xfId="50" applyFont="1" applyBorder="1" applyAlignment="1">
      <alignment vertical="center"/>
      <protection/>
    </xf>
    <xf numFmtId="4" fontId="36" fillId="24" borderId="27" xfId="51" applyNumberFormat="1" applyFont="1" applyFill="1" applyBorder="1" applyAlignment="1">
      <alignment vertical="center"/>
      <protection/>
    </xf>
    <xf numFmtId="4" fontId="36" fillId="24" borderId="27" xfId="50" applyNumberFormat="1" applyFont="1" applyFill="1" applyBorder="1" applyAlignment="1">
      <alignment vertical="center"/>
      <protection/>
    </xf>
    <xf numFmtId="4" fontId="1" fillId="0" borderId="27" xfId="52" applyNumberFormat="1" applyFont="1" applyFill="1" applyBorder="1" applyAlignment="1">
      <alignment vertical="center"/>
      <protection/>
    </xf>
    <xf numFmtId="0" fontId="4" fillId="0" borderId="54" xfId="51" applyFont="1" applyFill="1" applyBorder="1" applyAlignment="1">
      <alignment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33" fillId="0" borderId="55" xfId="51" applyFont="1" applyFill="1" applyBorder="1" applyAlignment="1">
      <alignment vertical="center"/>
      <protection/>
    </xf>
    <xf numFmtId="49" fontId="38" fillId="0" borderId="44" xfId="51" applyNumberFormat="1" applyFont="1" applyFill="1" applyBorder="1" applyAlignment="1">
      <alignment horizontal="center"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0" fontId="1" fillId="0" borderId="53" xfId="51" applyFont="1" applyFill="1" applyBorder="1" applyAlignment="1">
      <alignment vertical="center"/>
      <protection/>
    </xf>
    <xf numFmtId="0" fontId="4" fillId="0" borderId="54" xfId="51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vertical="center" wrapText="1"/>
      <protection/>
    </xf>
    <xf numFmtId="0" fontId="33" fillId="0" borderId="55" xfId="51" applyFont="1" applyFill="1" applyBorder="1" applyAlignment="1">
      <alignment horizontal="center" vertical="center"/>
      <protection/>
    </xf>
    <xf numFmtId="49" fontId="38" fillId="0" borderId="44" xfId="51" applyNumberFormat="1" applyFont="1" applyFill="1" applyBorder="1" applyAlignment="1">
      <alignment vertical="center"/>
      <protection/>
    </xf>
    <xf numFmtId="4" fontId="36" fillId="0" borderId="27" xfId="50" applyNumberFormat="1" applyFont="1" applyFill="1" applyBorder="1" applyAlignment="1">
      <alignment vertical="center"/>
      <protection/>
    </xf>
    <xf numFmtId="0" fontId="1" fillId="0" borderId="43" xfId="51" applyFont="1" applyFill="1" applyBorder="1" applyAlignment="1">
      <alignment horizontal="left" vertical="center"/>
      <protection/>
    </xf>
    <xf numFmtId="4" fontId="36" fillId="0" borderId="27" xfId="51" applyNumberFormat="1" applyFont="1" applyFill="1" applyBorder="1" applyAlignment="1">
      <alignment vertical="center"/>
      <protection/>
    </xf>
    <xf numFmtId="49" fontId="4" fillId="0" borderId="34" xfId="51" applyNumberFormat="1" applyFont="1" applyFill="1" applyBorder="1" applyAlignment="1">
      <alignment vertical="center"/>
      <protection/>
    </xf>
    <xf numFmtId="2" fontId="4" fillId="0" borderId="34" xfId="51" applyNumberFormat="1" applyFont="1" applyBorder="1" applyAlignment="1">
      <alignment vertical="center"/>
      <protection/>
    </xf>
    <xf numFmtId="2" fontId="1" fillId="0" borderId="56" xfId="51" applyNumberFormat="1" applyFont="1" applyFill="1" applyBorder="1" applyAlignment="1">
      <alignment vertical="center" wrapText="1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57" xfId="50" applyFont="1" applyBorder="1" applyAlignment="1">
      <alignment horizontal="center" vertical="center" textRotation="90" wrapText="1"/>
      <protection/>
    </xf>
    <xf numFmtId="0" fontId="1" fillId="0" borderId="58" xfId="50" applyFont="1" applyBorder="1" applyAlignment="1">
      <alignment horizontal="center" vertical="center" textRotation="90" wrapText="1"/>
      <protection/>
    </xf>
    <xf numFmtId="0" fontId="1" fillId="0" borderId="27" xfId="50" applyFont="1" applyBorder="1" applyAlignment="1">
      <alignment horizontal="center" vertical="center" textRotation="90" wrapText="1"/>
      <protection/>
    </xf>
    <xf numFmtId="0" fontId="4" fillId="0" borderId="57" xfId="50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59" xfId="50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4" fillId="0" borderId="60" xfId="50" applyNumberFormat="1" applyFont="1" applyBorder="1" applyAlignment="1">
      <alignment horizontal="center" vertical="center"/>
      <protection/>
    </xf>
    <xf numFmtId="49" fontId="4" fillId="0" borderId="55" xfId="50" applyNumberFormat="1" applyFont="1" applyBorder="1" applyAlignment="1">
      <alignment horizontal="center" vertical="center"/>
      <protection/>
    </xf>
    <xf numFmtId="0" fontId="4" fillId="0" borderId="60" xfId="50" applyFont="1" applyBorder="1" applyAlignment="1">
      <alignment horizontal="center" vertical="center"/>
      <protection/>
    </xf>
    <xf numFmtId="0" fontId="4" fillId="0" borderId="61" xfId="50" applyFont="1" applyBorder="1" applyAlignment="1">
      <alignment horizontal="center" vertical="center"/>
      <protection/>
    </xf>
    <xf numFmtId="0" fontId="4" fillId="0" borderId="29" xfId="50" applyFont="1" applyBorder="1" applyAlignment="1">
      <alignment horizontal="center" vertical="center"/>
      <protection/>
    </xf>
    <xf numFmtId="0" fontId="4" fillId="0" borderId="51" xfId="50" applyFont="1" applyBorder="1" applyAlignment="1">
      <alignment horizontal="center" vertical="center"/>
      <protection/>
    </xf>
    <xf numFmtId="0" fontId="4" fillId="0" borderId="30" xfId="50" applyFont="1" applyBorder="1" applyAlignment="1">
      <alignment horizontal="center" vertical="center"/>
      <protection/>
    </xf>
    <xf numFmtId="0" fontId="4" fillId="0" borderId="62" xfId="50" applyFont="1" applyBorder="1" applyAlignment="1">
      <alignment horizontal="center" vertical="center"/>
      <protection/>
    </xf>
    <xf numFmtId="0" fontId="4" fillId="0" borderId="63" xfId="50" applyFont="1" applyBorder="1" applyAlignment="1">
      <alignment horizontal="center" vertical="center"/>
      <protection/>
    </xf>
    <xf numFmtId="0" fontId="4" fillId="0" borderId="64" xfId="50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4" fillId="0" borderId="52" xfId="52" applyFont="1" applyBorder="1" applyAlignment="1">
      <alignment horizontal="center" vertical="center"/>
      <protection/>
    </xf>
    <xf numFmtId="0" fontId="1" fillId="0" borderId="57" xfId="52" applyFont="1" applyBorder="1" applyAlignment="1">
      <alignment horizontal="center" vertical="center" textRotation="90" wrapText="1"/>
      <protection/>
    </xf>
    <xf numFmtId="0" fontId="1" fillId="0" borderId="58" xfId="52" applyFont="1" applyBorder="1" applyAlignment="1">
      <alignment horizontal="center" vertical="center" textRotation="90" wrapText="1"/>
      <protection/>
    </xf>
    <xf numFmtId="0" fontId="1" fillId="0" borderId="27" xfId="52" applyFont="1" applyBorder="1" applyAlignment="1">
      <alignment horizontal="center" vertical="center" textRotation="90" wrapText="1"/>
      <protection/>
    </xf>
    <xf numFmtId="0" fontId="4" fillId="0" borderId="65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center" vertical="center"/>
      <protection/>
    </xf>
    <xf numFmtId="0" fontId="34" fillId="0" borderId="0" xfId="49" applyFont="1" applyAlignment="1">
      <alignment horizontal="center" vertical="center"/>
      <protection/>
    </xf>
    <xf numFmtId="49" fontId="4" fillId="0" borderId="57" xfId="52" applyNumberFormat="1" applyFont="1" applyBorder="1" applyAlignment="1">
      <alignment horizontal="center" vertical="center"/>
      <protection/>
    </xf>
    <xf numFmtId="49" fontId="4" fillId="0" borderId="27" xfId="52" applyNumberFormat="1" applyFont="1" applyBorder="1" applyAlignment="1">
      <alignment horizontal="center" vertical="center"/>
      <protection/>
    </xf>
    <xf numFmtId="0" fontId="4" fillId="0" borderId="60" xfId="52" applyFont="1" applyBorder="1" applyAlignment="1">
      <alignment horizontal="center" vertical="center"/>
      <protection/>
    </xf>
    <xf numFmtId="0" fontId="4" fillId="0" borderId="55" xfId="52" applyFont="1" applyBorder="1" applyAlignment="1">
      <alignment horizontal="center" vertical="center"/>
      <protection/>
    </xf>
    <xf numFmtId="2" fontId="4" fillId="0" borderId="60" xfId="50" applyNumberFormat="1" applyFont="1" applyBorder="1" applyAlignment="1">
      <alignment horizontal="center" vertical="center"/>
      <protection/>
    </xf>
    <xf numFmtId="2" fontId="4" fillId="0" borderId="29" xfId="50" applyNumberFormat="1" applyFont="1" applyBorder="1" applyAlignment="1">
      <alignment horizontal="center" vertical="center"/>
      <protection/>
    </xf>
    <xf numFmtId="2" fontId="4" fillId="0" borderId="30" xfId="50" applyNumberFormat="1" applyFont="1" applyBorder="1" applyAlignment="1">
      <alignment horizontal="center" vertical="center"/>
      <protection/>
    </xf>
    <xf numFmtId="0" fontId="4" fillId="0" borderId="57" xfId="52" applyFont="1" applyBorder="1" applyAlignment="1">
      <alignment horizontal="center" vertical="center"/>
      <protection/>
    </xf>
    <xf numFmtId="2" fontId="4" fillId="0" borderId="61" xfId="50" applyNumberFormat="1" applyFont="1" applyBorder="1" applyAlignment="1">
      <alignment horizontal="center" vertical="center"/>
      <protection/>
    </xf>
    <xf numFmtId="2" fontId="4" fillId="0" borderId="55" xfId="50" applyNumberFormat="1" applyFont="1" applyBorder="1" applyAlignment="1">
      <alignment horizontal="center" vertical="center"/>
      <protection/>
    </xf>
    <xf numFmtId="2" fontId="4" fillId="0" borderId="52" xfId="50" applyNumberFormat="1" applyFont="1" applyBorder="1" applyAlignment="1">
      <alignment horizontal="center" vertical="center"/>
      <protection/>
    </xf>
    <xf numFmtId="2" fontId="4" fillId="0" borderId="53" xfId="50" applyNumberFormat="1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1" fontId="4" fillId="0" borderId="10" xfId="50" applyNumberFormat="1" applyFont="1" applyFill="1" applyBorder="1" applyAlignment="1">
      <alignment horizontal="center" vertical="center"/>
      <protection/>
    </xf>
    <xf numFmtId="2" fontId="4" fillId="0" borderId="63" xfId="50" applyNumberFormat="1" applyFont="1" applyBorder="1" applyAlignment="1">
      <alignment horizontal="center" vertical="center"/>
      <protection/>
    </xf>
    <xf numFmtId="2" fontId="4" fillId="0" borderId="23" xfId="50" applyNumberFormat="1" applyFont="1" applyBorder="1" applyAlignment="1">
      <alignment horizontal="center" vertical="center"/>
      <protection/>
    </xf>
    <xf numFmtId="2" fontId="4" fillId="0" borderId="29" xfId="50" applyNumberFormat="1" applyFont="1" applyBorder="1" applyAlignment="1">
      <alignment horizontal="center" vertical="center"/>
      <protection/>
    </xf>
    <xf numFmtId="2" fontId="4" fillId="0" borderId="30" xfId="50" applyNumberFormat="1" applyFont="1" applyBorder="1" applyAlignment="1">
      <alignment horizontal="center" vertical="center"/>
      <protection/>
    </xf>
    <xf numFmtId="4" fontId="4" fillId="0" borderId="50" xfId="50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2" fontId="4" fillId="0" borderId="33" xfId="50" applyNumberFormat="1" applyFont="1" applyBorder="1" applyAlignment="1">
      <alignment horizontal="center" vertical="center"/>
      <protection/>
    </xf>
    <xf numFmtId="49" fontId="4" fillId="0" borderId="15" xfId="50" applyNumberFormat="1" applyFont="1" applyBorder="1" applyAlignment="1">
      <alignment horizontal="center" vertical="center"/>
      <protection/>
    </xf>
    <xf numFmtId="2" fontId="4" fillId="0" borderId="15" xfId="50" applyNumberFormat="1" applyFont="1" applyBorder="1" applyAlignment="1">
      <alignment horizontal="center" vertical="center"/>
      <protection/>
    </xf>
    <xf numFmtId="2" fontId="4" fillId="0" borderId="34" xfId="50" applyNumberFormat="1" applyFont="1" applyBorder="1" applyAlignment="1">
      <alignment vertical="center"/>
      <protection/>
    </xf>
    <xf numFmtId="4" fontId="4" fillId="0" borderId="54" xfId="50" applyNumberFormat="1" applyFont="1" applyFill="1" applyBorder="1" applyAlignment="1">
      <alignment vertical="center"/>
      <protection/>
    </xf>
    <xf numFmtId="171" fontId="4" fillId="0" borderId="26" xfId="50" applyNumberFormat="1" applyFont="1" applyFill="1" applyBorder="1" applyAlignment="1">
      <alignment vertical="center"/>
      <protection/>
    </xf>
    <xf numFmtId="2" fontId="1" fillId="0" borderId="47" xfId="50" applyNumberFormat="1" applyFont="1" applyBorder="1" applyAlignment="1">
      <alignment horizontal="center" vertical="center"/>
      <protection/>
    </xf>
    <xf numFmtId="2" fontId="1" fillId="0" borderId="43" xfId="50" applyNumberFormat="1" applyFont="1" applyBorder="1" applyAlignment="1">
      <alignment horizontal="center" vertical="center"/>
      <protection/>
    </xf>
    <xf numFmtId="1" fontId="1" fillId="0" borderId="43" xfId="50" applyNumberFormat="1" applyFont="1" applyBorder="1" applyAlignment="1">
      <alignment horizontal="center" vertical="center"/>
      <protection/>
    </xf>
    <xf numFmtId="2" fontId="1" fillId="0" borderId="44" xfId="50" applyNumberFormat="1" applyFont="1" applyBorder="1" applyAlignment="1">
      <alignment vertical="center"/>
      <protection/>
    </xf>
    <xf numFmtId="4" fontId="1" fillId="0" borderId="67" xfId="50" applyNumberFormat="1" applyFont="1" applyFill="1" applyBorder="1" applyAlignment="1">
      <alignment vertical="center"/>
      <protection/>
    </xf>
    <xf numFmtId="171" fontId="1" fillId="0" borderId="45" xfId="50" applyNumberFormat="1" applyFont="1" applyFill="1" applyBorder="1" applyAlignment="1">
      <alignment vertical="center"/>
      <protection/>
    </xf>
    <xf numFmtId="0" fontId="4" fillId="0" borderId="33" xfId="50" applyFont="1" applyFill="1" applyBorder="1" applyAlignment="1">
      <alignment horizontal="center" vertical="center"/>
      <protection/>
    </xf>
    <xf numFmtId="49" fontId="4" fillId="0" borderId="15" xfId="51" applyNumberFormat="1" applyFont="1" applyFill="1" applyBorder="1" applyAlignment="1">
      <alignment horizontal="center" vertical="center" wrapText="1"/>
      <protection/>
    </xf>
    <xf numFmtId="1" fontId="4" fillId="0" borderId="15" xfId="51" applyNumberFormat="1" applyFont="1" applyBorder="1" applyAlignment="1">
      <alignment horizontal="center" vertical="center" wrapText="1"/>
      <protection/>
    </xf>
    <xf numFmtId="2" fontId="4" fillId="0" borderId="34" xfId="51" applyNumberFormat="1" applyFont="1" applyFill="1" applyBorder="1" applyAlignment="1">
      <alignment vertical="center" wrapText="1"/>
      <protection/>
    </xf>
    <xf numFmtId="173" fontId="0" fillId="0" borderId="0" xfId="0" applyNumberFormat="1" applyAlignment="1">
      <alignment vertical="center"/>
    </xf>
    <xf numFmtId="0" fontId="1" fillId="0" borderId="47" xfId="50" applyFont="1" applyFill="1" applyBorder="1" applyAlignment="1">
      <alignment horizontal="center" vertical="center"/>
      <protection/>
    </xf>
    <xf numFmtId="2" fontId="4" fillId="0" borderId="52" xfId="51" applyNumberFormat="1" applyFont="1" applyBorder="1" applyAlignment="1">
      <alignment horizontal="center" vertical="center"/>
      <protection/>
    </xf>
    <xf numFmtId="1" fontId="1" fillId="0" borderId="44" xfId="51" applyNumberFormat="1" applyFont="1" applyFill="1" applyBorder="1" applyAlignment="1">
      <alignment horizontal="center" vertical="center"/>
      <protection/>
    </xf>
    <xf numFmtId="49" fontId="4" fillId="0" borderId="15" xfId="50" applyNumberFormat="1" applyFont="1" applyFill="1" applyBorder="1" applyAlignment="1">
      <alignment horizontal="center" vertical="center" wrapText="1"/>
      <protection/>
    </xf>
    <xf numFmtId="0" fontId="4" fillId="0" borderId="15" xfId="50" applyFont="1" applyFill="1" applyBorder="1" applyAlignment="1">
      <alignment horizontal="center" vertical="center"/>
      <protection/>
    </xf>
    <xf numFmtId="171" fontId="4" fillId="0" borderId="26" xfId="51" applyNumberFormat="1" applyFont="1" applyFill="1" applyBorder="1" applyAlignment="1">
      <alignment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2" fontId="4" fillId="0" borderId="19" xfId="50" applyNumberFormat="1" applyFont="1" applyBorder="1" applyAlignment="1">
      <alignment horizontal="center" vertical="center"/>
      <protection/>
    </xf>
    <xf numFmtId="1" fontId="1" fillId="0" borderId="19" xfId="50" applyNumberFormat="1" applyFont="1" applyFill="1" applyBorder="1" applyAlignment="1">
      <alignment horizontal="center" vertical="center"/>
      <protection/>
    </xf>
    <xf numFmtId="0" fontId="37" fillId="0" borderId="44" xfId="48" applyFont="1" applyFill="1" applyBorder="1" applyAlignment="1">
      <alignment vertical="center"/>
      <protection/>
    </xf>
    <xf numFmtId="0" fontId="4" fillId="0" borderId="33" xfId="5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2" fontId="4" fillId="0" borderId="19" xfId="51" applyNumberFormat="1" applyFont="1" applyBorder="1" applyAlignment="1">
      <alignment horizontal="center" vertical="center"/>
      <protection/>
    </xf>
    <xf numFmtId="1" fontId="1" fillId="0" borderId="19" xfId="51" applyNumberFormat="1" applyFont="1" applyFill="1" applyBorder="1" applyAlignment="1">
      <alignment horizontal="center" vertical="center"/>
      <protection/>
    </xf>
    <xf numFmtId="0" fontId="37" fillId="0" borderId="18" xfId="48" applyFont="1" applyFill="1" applyBorder="1" applyAlignment="1">
      <alignment vertical="center" wrapText="1"/>
      <protection/>
    </xf>
    <xf numFmtId="4" fontId="4" fillId="0" borderId="54" xfId="51" applyNumberFormat="1" applyFont="1" applyFill="1" applyBorder="1" applyAlignment="1">
      <alignment vertical="center"/>
      <protection/>
    </xf>
    <xf numFmtId="0" fontId="1" fillId="25" borderId="43" xfId="54" applyFont="1" applyFill="1" applyBorder="1" applyAlignment="1">
      <alignment horizontal="center" vertical="center"/>
      <protection/>
    </xf>
    <xf numFmtId="0" fontId="1" fillId="25" borderId="68" xfId="54" applyFont="1" applyFill="1" applyBorder="1" applyAlignment="1">
      <alignment horizontal="center" vertical="center"/>
      <protection/>
    </xf>
    <xf numFmtId="0" fontId="1" fillId="25" borderId="43" xfId="54" applyFont="1" applyFill="1" applyBorder="1" applyAlignment="1">
      <alignment vertical="center" wrapText="1"/>
      <protection/>
    </xf>
    <xf numFmtId="4" fontId="1" fillId="0" borderId="45" xfId="51" applyNumberFormat="1" applyFont="1" applyFill="1" applyBorder="1" applyAlignment="1">
      <alignment vertical="center"/>
      <protection/>
    </xf>
    <xf numFmtId="0" fontId="1" fillId="0" borderId="69" xfId="51" applyFont="1" applyFill="1" applyBorder="1" applyAlignment="1">
      <alignment horizontal="center" vertical="center"/>
      <protection/>
    </xf>
    <xf numFmtId="2" fontId="4" fillId="0" borderId="62" xfId="51" applyNumberFormat="1" applyFont="1" applyBorder="1" applyAlignment="1">
      <alignment horizontal="center" vertical="center"/>
      <protection/>
    </xf>
    <xf numFmtId="171" fontId="1" fillId="0" borderId="27" xfId="50" applyNumberFormat="1" applyFont="1" applyFill="1" applyBorder="1" applyAlignment="1">
      <alignment vertical="center"/>
      <protection/>
    </xf>
    <xf numFmtId="0" fontId="39" fillId="0" borderId="32" xfId="51" applyFont="1" applyFill="1" applyBorder="1" applyAlignment="1">
      <alignment horizontal="center" vertical="center"/>
      <protection/>
    </xf>
    <xf numFmtId="0" fontId="39" fillId="0" borderId="12" xfId="51" applyFont="1" applyFill="1" applyBorder="1" applyAlignment="1">
      <alignment horizontal="center" vertical="center"/>
      <protection/>
    </xf>
    <xf numFmtId="0" fontId="40" fillId="0" borderId="23" xfId="51" applyFont="1" applyFill="1" applyBorder="1" applyAlignment="1">
      <alignment horizontal="center" vertical="center"/>
      <protection/>
    </xf>
    <xf numFmtId="0" fontId="39" fillId="0" borderId="13" xfId="51" applyFont="1" applyFill="1" applyBorder="1" applyAlignment="1">
      <alignment vertical="center" wrapText="1"/>
      <protection/>
    </xf>
    <xf numFmtId="4" fontId="39" fillId="0" borderId="11" xfId="51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0" fontId="1" fillId="0" borderId="70" xfId="51" applyFont="1" applyFill="1" applyBorder="1" applyAlignment="1">
      <alignment horizontal="center" vertical="center"/>
      <protection/>
    </xf>
    <xf numFmtId="2" fontId="4" fillId="0" borderId="43" xfId="50" applyNumberFormat="1" applyFont="1" applyBorder="1" applyAlignment="1">
      <alignment horizontal="center" vertical="center"/>
      <protection/>
    </xf>
    <xf numFmtId="1" fontId="1" fillId="0" borderId="43" xfId="51" applyNumberFormat="1" applyFont="1" applyFill="1" applyBorder="1" applyAlignment="1">
      <alignment horizontal="center" vertical="center"/>
      <protection/>
    </xf>
    <xf numFmtId="2" fontId="1" fillId="0" borderId="43" xfId="51" applyNumberFormat="1" applyFont="1" applyBorder="1" applyAlignment="1">
      <alignment horizontal="left" vertical="center"/>
      <protection/>
    </xf>
    <xf numFmtId="0" fontId="4" fillId="0" borderId="16" xfId="50" applyFont="1" applyFill="1" applyBorder="1" applyAlignment="1">
      <alignment vertical="center"/>
      <protection/>
    </xf>
    <xf numFmtId="0" fontId="37" fillId="0" borderId="20" xfId="48" applyFont="1" applyFill="1" applyBorder="1" applyAlignment="1">
      <alignment vertical="center" wrapText="1"/>
      <protection/>
    </xf>
    <xf numFmtId="2" fontId="1" fillId="0" borderId="19" xfId="51" applyNumberFormat="1" applyFont="1" applyBorder="1" applyAlignment="1">
      <alignment horizontal="left" vertical="center"/>
      <protection/>
    </xf>
    <xf numFmtId="171" fontId="1" fillId="0" borderId="17" xfId="50" applyNumberFormat="1" applyFont="1" applyFill="1" applyBorder="1" applyAlignment="1">
      <alignment vertical="center"/>
      <protection/>
    </xf>
    <xf numFmtId="2" fontId="4" fillId="0" borderId="51" xfId="51" applyNumberFormat="1" applyFont="1" applyBorder="1" applyAlignment="1">
      <alignment horizontal="center" vertical="center"/>
      <protection/>
    </xf>
    <xf numFmtId="2" fontId="1" fillId="0" borderId="56" xfId="51" applyNumberFormat="1" applyFont="1" applyFill="1" applyBorder="1" applyAlignment="1">
      <alignment horizontal="left" vertical="center"/>
      <protection/>
    </xf>
    <xf numFmtId="0" fontId="1" fillId="0" borderId="47" xfId="51" applyFont="1" applyFill="1" applyBorder="1" applyAlignment="1">
      <alignment horizontal="center" vertical="center"/>
      <protection/>
    </xf>
    <xf numFmtId="0" fontId="1" fillId="0" borderId="52" xfId="51" applyFont="1" applyBorder="1" applyAlignment="1">
      <alignment horizontal="center" vertical="center"/>
      <protection/>
    </xf>
    <xf numFmtId="0" fontId="1" fillId="0" borderId="24" xfId="51" applyFont="1" applyFill="1" applyBorder="1" applyAlignment="1">
      <alignment horizontal="left" vertical="center" wrapText="1"/>
      <protection/>
    </xf>
    <xf numFmtId="4" fontId="1" fillId="0" borderId="58" xfId="51" applyNumberFormat="1" applyFont="1" applyFill="1" applyBorder="1" applyAlignment="1">
      <alignment vertical="center"/>
      <protection/>
    </xf>
    <xf numFmtId="1" fontId="1" fillId="0" borderId="43" xfId="50" applyNumberFormat="1" applyFont="1" applyFill="1" applyBorder="1" applyAlignment="1">
      <alignment horizontal="center" vertical="center"/>
      <protection/>
    </xf>
    <xf numFmtId="0" fontId="37" fillId="0" borderId="71" xfId="48" applyFont="1" applyFill="1" applyBorder="1" applyAlignment="1">
      <alignment vertical="center" wrapText="1"/>
      <protection/>
    </xf>
    <xf numFmtId="2" fontId="4" fillId="0" borderId="43" xfId="51" applyNumberFormat="1" applyFont="1" applyBorder="1" applyAlignment="1">
      <alignment horizontal="center" vertical="center"/>
      <protection/>
    </xf>
    <xf numFmtId="0" fontId="37" fillId="0" borderId="56" xfId="48" applyFont="1" applyFill="1" applyBorder="1" applyAlignment="1">
      <alignment vertical="center" wrapText="1"/>
      <protection/>
    </xf>
    <xf numFmtId="2" fontId="1" fillId="0" borderId="43" xfId="51" applyNumberFormat="1" applyFont="1" applyFill="1" applyBorder="1" applyAlignment="1">
      <alignment horizontal="left" vertical="center"/>
      <protection/>
    </xf>
    <xf numFmtId="2" fontId="1" fillId="0" borderId="19" xfId="51" applyNumberFormat="1" applyFont="1" applyFill="1" applyBorder="1" applyAlignment="1">
      <alignment horizontal="left" vertical="center"/>
      <protection/>
    </xf>
    <xf numFmtId="0" fontId="1" fillId="0" borderId="67" xfId="51" applyFont="1" applyFill="1" applyBorder="1" applyAlignment="1">
      <alignment horizontal="center" vertical="center"/>
      <protection/>
    </xf>
    <xf numFmtId="171" fontId="1" fillId="0" borderId="17" xfId="51" applyNumberFormat="1" applyFont="1" applyFill="1" applyBorder="1" applyAlignment="1">
      <alignment vertical="center"/>
      <protection/>
    </xf>
    <xf numFmtId="2" fontId="1" fillId="0" borderId="71" xfId="51" applyNumberFormat="1" applyFont="1" applyFill="1" applyBorder="1" applyAlignment="1">
      <alignment horizontal="left" vertical="center"/>
      <protection/>
    </xf>
    <xf numFmtId="0" fontId="1" fillId="0" borderId="72" xfId="51" applyFont="1" applyFill="1" applyBorder="1" applyAlignment="1">
      <alignment horizontal="center" vertical="center"/>
      <protection/>
    </xf>
    <xf numFmtId="49" fontId="1" fillId="0" borderId="18" xfId="51" applyNumberFormat="1" applyFont="1" applyFill="1" applyBorder="1" applyAlignment="1">
      <alignment horizontal="center" vertical="center"/>
      <protection/>
    </xf>
    <xf numFmtId="1" fontId="1" fillId="0" borderId="18" xfId="51" applyNumberFormat="1" applyFont="1" applyFill="1" applyBorder="1" applyAlignment="1">
      <alignment horizontal="center" vertical="center"/>
      <protection/>
    </xf>
    <xf numFmtId="2" fontId="1" fillId="0" borderId="20" xfId="51" applyNumberFormat="1" applyFont="1" applyFill="1" applyBorder="1" applyAlignment="1">
      <alignment horizontal="left" vertical="center"/>
      <protection/>
    </xf>
    <xf numFmtId="2" fontId="1" fillId="0" borderId="17" xfId="47" applyNumberFormat="1" applyFont="1" applyFill="1" applyBorder="1" applyAlignment="1">
      <alignment horizontal="right" vertical="center"/>
      <protection/>
    </xf>
    <xf numFmtId="4" fontId="1" fillId="0" borderId="42" xfId="51" applyNumberFormat="1" applyFont="1" applyFill="1" applyBorder="1" applyAlignment="1">
      <alignment vertical="center"/>
      <protection/>
    </xf>
    <xf numFmtId="171" fontId="1" fillId="0" borderId="42" xfId="51" applyNumberFormat="1" applyFont="1" applyFill="1" applyBorder="1" applyAlignment="1">
      <alignment vertical="center"/>
      <protection/>
    </xf>
    <xf numFmtId="0" fontId="1" fillId="0" borderId="73" xfId="51" applyFont="1" applyFill="1" applyBorder="1" applyAlignment="1">
      <alignment horizontal="center" vertical="center"/>
      <protection/>
    </xf>
    <xf numFmtId="2" fontId="1" fillId="26" borderId="19" xfId="51" applyNumberFormat="1" applyFont="1" applyFill="1" applyBorder="1" applyAlignment="1">
      <alignment horizontal="center" vertical="center"/>
      <protection/>
    </xf>
    <xf numFmtId="2" fontId="1" fillId="27" borderId="52" xfId="51" applyNumberFormat="1" applyFont="1" applyFill="1" applyBorder="1" applyAlignment="1">
      <alignment horizontal="center" vertical="center"/>
      <protection/>
    </xf>
    <xf numFmtId="2" fontId="1" fillId="0" borderId="27" xfId="47" applyNumberFormat="1" applyFont="1" applyFill="1" applyBorder="1" applyAlignment="1">
      <alignment horizontal="right" vertical="center"/>
      <protection/>
    </xf>
    <xf numFmtId="0" fontId="1" fillId="0" borderId="70" xfId="50" applyFont="1" applyFill="1" applyBorder="1" applyAlignment="1">
      <alignment horizontal="center" vertical="center"/>
      <protection/>
    </xf>
    <xf numFmtId="2" fontId="1" fillId="27" borderId="52" xfId="50" applyNumberFormat="1" applyFont="1" applyFill="1" applyBorder="1" applyAlignment="1">
      <alignment horizontal="center" vertical="center"/>
      <protection/>
    </xf>
    <xf numFmtId="1" fontId="1" fillId="0" borderId="52" xfId="50" applyNumberFormat="1" applyFont="1" applyFill="1" applyBorder="1" applyAlignment="1">
      <alignment horizontal="center" vertical="center"/>
      <protection/>
    </xf>
    <xf numFmtId="4" fontId="1" fillId="0" borderId="37" xfId="51" applyNumberFormat="1" applyFont="1" applyFill="1" applyBorder="1" applyAlignment="1">
      <alignment vertical="center"/>
      <protection/>
    </xf>
    <xf numFmtId="2" fontId="4" fillId="0" borderId="52" xfId="50" applyNumberFormat="1" applyFont="1" applyBorder="1" applyAlignment="1">
      <alignment horizontal="center" vertical="center"/>
      <protection/>
    </xf>
    <xf numFmtId="171" fontId="1" fillId="0" borderId="37" xfId="50" applyNumberFormat="1" applyFont="1" applyFill="1" applyBorder="1" applyAlignment="1">
      <alignment vertical="center"/>
      <protection/>
    </xf>
    <xf numFmtId="2" fontId="1" fillId="26" borderId="24" xfId="50" applyNumberFormat="1" applyFont="1" applyFill="1" applyBorder="1" applyAlignment="1">
      <alignment horizontal="center" vertical="center"/>
      <protection/>
    </xf>
    <xf numFmtId="1" fontId="1" fillId="0" borderId="53" xfId="50" applyNumberFormat="1" applyFont="1" applyFill="1" applyBorder="1" applyAlignment="1">
      <alignment horizontal="center" vertical="center"/>
      <protection/>
    </xf>
    <xf numFmtId="2" fontId="1" fillId="0" borderId="56" xfId="50" applyNumberFormat="1" applyFont="1" applyFill="1" applyBorder="1" applyAlignment="1">
      <alignment horizontal="left" vertical="center"/>
      <protection/>
    </xf>
    <xf numFmtId="0" fontId="1" fillId="0" borderId="67" xfId="50" applyFont="1" applyFill="1" applyBorder="1" applyAlignment="1">
      <alignment horizontal="center" vertical="center"/>
      <protection/>
    </xf>
    <xf numFmtId="2" fontId="1" fillId="27" borderId="43" xfId="50" applyNumberFormat="1" applyFont="1" applyFill="1" applyBorder="1" applyAlignment="1">
      <alignment horizontal="center" vertical="center"/>
      <protection/>
    </xf>
    <xf numFmtId="2" fontId="1" fillId="26" borderId="52" xfId="50" applyNumberFormat="1" applyFont="1" applyFill="1" applyBorder="1" applyAlignment="1">
      <alignment horizontal="center" vertical="center"/>
      <protection/>
    </xf>
    <xf numFmtId="0" fontId="0" fillId="0" borderId="65" xfId="0" applyBorder="1" applyAlignment="1">
      <alignment vertical="center"/>
    </xf>
    <xf numFmtId="171" fontId="4" fillId="0" borderId="10" xfId="50" applyNumberFormat="1" applyFont="1" applyFill="1" applyBorder="1" applyAlignment="1">
      <alignment vertical="center"/>
      <protection/>
    </xf>
    <xf numFmtId="171" fontId="31" fillId="0" borderId="10" xfId="50" applyNumberFormat="1" applyFont="1" applyFill="1" applyBorder="1" applyAlignment="1">
      <alignment vertical="center"/>
      <protection/>
    </xf>
    <xf numFmtId="171" fontId="32" fillId="0" borderId="74" xfId="50" applyNumberFormat="1" applyFont="1" applyFill="1" applyBorder="1" applyAlignment="1">
      <alignment vertical="center"/>
      <protection/>
    </xf>
    <xf numFmtId="171" fontId="1" fillId="0" borderId="36" xfId="50" applyNumberFormat="1" applyFont="1" applyFill="1" applyBorder="1" applyAlignment="1">
      <alignment vertical="center"/>
      <protection/>
    </xf>
    <xf numFmtId="171" fontId="32" fillId="0" borderId="21" xfId="50" applyNumberFormat="1" applyFont="1" applyFill="1" applyBorder="1" applyAlignment="1">
      <alignment vertical="center"/>
      <protection/>
    </xf>
    <xf numFmtId="171" fontId="1" fillId="0" borderId="21" xfId="50" applyNumberFormat="1" applyFont="1" applyFill="1" applyBorder="1" applyAlignment="1">
      <alignment vertical="center"/>
      <protection/>
    </xf>
    <xf numFmtId="171" fontId="1" fillId="0" borderId="75" xfId="50" applyNumberFormat="1" applyFont="1" applyFill="1" applyBorder="1" applyAlignment="1">
      <alignment vertical="center"/>
      <protection/>
    </xf>
    <xf numFmtId="171" fontId="32" fillId="0" borderId="46" xfId="50" applyNumberFormat="1" applyFont="1" applyFill="1" applyBorder="1" applyAlignment="1">
      <alignment vertical="center"/>
      <protection/>
    </xf>
    <xf numFmtId="171" fontId="1" fillId="0" borderId="21" xfId="50" applyNumberFormat="1" applyFont="1" applyFill="1" applyBorder="1" applyAlignment="1">
      <alignment vertical="center"/>
      <protection/>
    </xf>
    <xf numFmtId="171" fontId="1" fillId="0" borderId="17" xfId="50" applyNumberFormat="1" applyFont="1" applyFill="1" applyBorder="1" applyAlignment="1">
      <alignment vertical="center" wrapText="1"/>
      <protection/>
    </xf>
    <xf numFmtId="171" fontId="1" fillId="0" borderId="75" xfId="50" applyNumberFormat="1" applyFont="1" applyFill="1" applyBorder="1" applyAlignment="1">
      <alignment vertical="center"/>
      <protection/>
    </xf>
    <xf numFmtId="171" fontId="1" fillId="0" borderId="76" xfId="50" applyNumberFormat="1" applyFont="1" applyFill="1" applyBorder="1" applyAlignment="1">
      <alignment vertical="center"/>
      <protection/>
    </xf>
    <xf numFmtId="171" fontId="32" fillId="0" borderId="17" xfId="50" applyNumberFormat="1" applyFont="1" applyFill="1" applyBorder="1" applyAlignment="1">
      <alignment vertical="center"/>
      <protection/>
    </xf>
    <xf numFmtId="171" fontId="8" fillId="0" borderId="24" xfId="0" applyNumberFormat="1" applyFont="1" applyFill="1" applyBorder="1" applyAlignment="1">
      <alignment horizontal="right" vertical="center" wrapText="1"/>
    </xf>
    <xf numFmtId="171" fontId="7" fillId="0" borderId="23" xfId="0" applyNumberFormat="1" applyFont="1" applyBorder="1" applyAlignment="1">
      <alignment horizontal="right" vertical="center" wrapText="1"/>
    </xf>
    <xf numFmtId="171" fontId="4" fillId="0" borderId="11" xfId="51" applyNumberFormat="1" applyFont="1" applyFill="1" applyBorder="1" applyAlignment="1">
      <alignment vertical="center"/>
      <protection/>
    </xf>
    <xf numFmtId="171" fontId="36" fillId="24" borderId="27" xfId="50" applyNumberFormat="1" applyFont="1" applyFill="1" applyBorder="1" applyAlignment="1">
      <alignment vertical="center"/>
      <protection/>
    </xf>
    <xf numFmtId="171" fontId="36" fillId="24" borderId="27" xfId="51" applyNumberFormat="1" applyFont="1" applyFill="1" applyBorder="1" applyAlignment="1">
      <alignment vertical="center"/>
      <protection/>
    </xf>
    <xf numFmtId="171" fontId="36" fillId="0" borderId="27" xfId="50" applyNumberFormat="1" applyFont="1" applyFill="1" applyBorder="1" applyAlignment="1">
      <alignment vertical="center"/>
      <protection/>
    </xf>
    <xf numFmtId="0" fontId="1" fillId="0" borderId="44" xfId="51" applyFont="1" applyFill="1" applyBorder="1" applyAlignment="1">
      <alignment horizontal="left" vertical="center"/>
      <protection/>
    </xf>
    <xf numFmtId="0" fontId="1" fillId="0" borderId="53" xfId="51" applyFont="1" applyFill="1" applyBorder="1" applyAlignment="1">
      <alignment horizontal="left" vertical="center"/>
      <protection/>
    </xf>
    <xf numFmtId="0" fontId="33" fillId="0" borderId="36" xfId="51" applyFont="1" applyFill="1" applyBorder="1" applyAlignment="1">
      <alignment horizontal="center" vertical="center"/>
      <protection/>
    </xf>
    <xf numFmtId="49" fontId="38" fillId="0" borderId="18" xfId="51" applyNumberFormat="1" applyFont="1" applyFill="1" applyBorder="1" applyAlignment="1">
      <alignment vertical="center"/>
      <protection/>
    </xf>
    <xf numFmtId="0" fontId="1" fillId="0" borderId="19" xfId="51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vertical="center"/>
      <protection/>
    </xf>
    <xf numFmtId="4" fontId="36" fillId="24" borderId="17" xfId="50" applyNumberFormat="1" applyFont="1" applyFill="1" applyBorder="1" applyAlignment="1">
      <alignment vertical="center"/>
      <protection/>
    </xf>
    <xf numFmtId="171" fontId="36" fillId="24" borderId="17" xfId="50" applyNumberFormat="1" applyFont="1" applyFill="1" applyBorder="1" applyAlignment="1">
      <alignment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49" fontId="38" fillId="0" borderId="53" xfId="51" applyNumberFormat="1" applyFont="1" applyFill="1" applyBorder="1" applyAlignment="1">
      <alignment horizontal="center" vertical="center"/>
      <protection/>
    </xf>
    <xf numFmtId="4" fontId="1" fillId="0" borderId="58" xfId="50" applyNumberFormat="1" applyFont="1" applyFill="1" applyBorder="1" applyAlignment="1">
      <alignment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normální_Rozpis výdajů 03 bez PO 3 2" xfId="53"/>
    <cellStyle name="normální_Rozpis výdajů 03 bez PO_UR 2008 1-168 tisk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25">
      <selection activeCell="E40" sqref="E40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186" t="s">
        <v>85</v>
      </c>
      <c r="B1" s="186"/>
      <c r="C1" s="186"/>
      <c r="D1" s="186"/>
      <c r="E1" s="186"/>
      <c r="F1" s="186"/>
    </row>
    <row r="2" ht="18" customHeight="1"/>
    <row r="3" spans="1:6" ht="16.5" customHeight="1">
      <c r="A3" s="187" t="s">
        <v>30</v>
      </c>
      <c r="B3" s="187"/>
      <c r="C3" s="187"/>
      <c r="D3" s="187"/>
      <c r="E3" s="187"/>
      <c r="F3" s="187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82</v>
      </c>
      <c r="D5" s="27" t="s">
        <v>83</v>
      </c>
      <c r="E5" s="5" t="s">
        <v>0</v>
      </c>
      <c r="F5" s="6" t="s">
        <v>84</v>
      </c>
    </row>
    <row r="6" spans="1:6" ht="15" customHeight="1">
      <c r="A6" s="108" t="s">
        <v>9</v>
      </c>
      <c r="B6" s="109" t="s">
        <v>23</v>
      </c>
      <c r="C6" s="7">
        <f>C7+C8+C9</f>
        <v>2734356.93</v>
      </c>
      <c r="D6" s="130">
        <f>D7+D8+D9</f>
        <v>2757273.83</v>
      </c>
      <c r="E6" s="8">
        <f>SUM(E7:E9)</f>
        <v>0</v>
      </c>
      <c r="F6" s="9">
        <f>SUM(F7:F9)</f>
        <v>2757273.83</v>
      </c>
    </row>
    <row r="7" spans="1:6" ht="15" customHeight="1">
      <c r="A7" s="110" t="s">
        <v>86</v>
      </c>
      <c r="B7" s="10" t="s">
        <v>10</v>
      </c>
      <c r="C7" s="11">
        <v>2661000</v>
      </c>
      <c r="D7" s="12">
        <v>2669964.72</v>
      </c>
      <c r="E7" s="19"/>
      <c r="F7" s="13">
        <f aca="true" t="shared" si="0" ref="F7:F25">D7+E7</f>
        <v>2669964.72</v>
      </c>
    </row>
    <row r="8" spans="1:6" ht="15" customHeight="1">
      <c r="A8" s="110" t="s">
        <v>87</v>
      </c>
      <c r="B8" s="10" t="s">
        <v>11</v>
      </c>
      <c r="C8" s="11">
        <f>68120+5236.93</f>
        <v>73356.93</v>
      </c>
      <c r="D8" s="12">
        <v>87309.10999999999</v>
      </c>
      <c r="E8" s="19"/>
      <c r="F8" s="13">
        <f t="shared" si="0"/>
        <v>87309.10999999999</v>
      </c>
    </row>
    <row r="9" spans="1:6" ht="15" customHeight="1">
      <c r="A9" s="110" t="s">
        <v>88</v>
      </c>
      <c r="B9" s="10" t="s">
        <v>12</v>
      </c>
      <c r="C9" s="11">
        <v>0</v>
      </c>
      <c r="D9" s="12">
        <v>0</v>
      </c>
      <c r="E9" s="19"/>
      <c r="F9" s="13">
        <f t="shared" si="0"/>
        <v>0</v>
      </c>
    </row>
    <row r="10" spans="1:6" ht="15" customHeight="1">
      <c r="A10" s="111" t="s">
        <v>89</v>
      </c>
      <c r="B10" s="10" t="s">
        <v>13</v>
      </c>
      <c r="C10" s="15">
        <f>C11+C17</f>
        <v>93723.76999999999</v>
      </c>
      <c r="D10" s="131">
        <f>D11+D17</f>
        <v>4749968</v>
      </c>
      <c r="E10" s="16">
        <f>E11+E17</f>
        <v>0</v>
      </c>
      <c r="F10" s="17">
        <f>F11+F17</f>
        <v>4749968</v>
      </c>
    </row>
    <row r="11" spans="1:6" ht="15" customHeight="1">
      <c r="A11" s="110" t="s">
        <v>90</v>
      </c>
      <c r="B11" s="10" t="s">
        <v>14</v>
      </c>
      <c r="C11" s="11">
        <f>SUM(C12:C16)</f>
        <v>93723.76999999999</v>
      </c>
      <c r="D11" s="12">
        <f>SUM(D12:D16)</f>
        <v>4697544.97</v>
      </c>
      <c r="E11" s="12">
        <f>SUM(E12:E16)</f>
        <v>0</v>
      </c>
      <c r="F11" s="13">
        <f>SUM(F12:F16)</f>
        <v>4697544.97</v>
      </c>
    </row>
    <row r="12" spans="1:6" ht="15" customHeight="1">
      <c r="A12" s="110" t="s">
        <v>91</v>
      </c>
      <c r="B12" s="10" t="s">
        <v>15</v>
      </c>
      <c r="C12" s="11">
        <v>67590.7</v>
      </c>
      <c r="D12" s="12">
        <v>67590.7</v>
      </c>
      <c r="E12" s="19"/>
      <c r="F12" s="13">
        <f t="shared" si="0"/>
        <v>67590.7</v>
      </c>
    </row>
    <row r="13" spans="1:6" ht="15" customHeight="1">
      <c r="A13" s="110" t="s">
        <v>92</v>
      </c>
      <c r="B13" s="10" t="s">
        <v>14</v>
      </c>
      <c r="C13" s="18">
        <v>0</v>
      </c>
      <c r="D13" s="12">
        <v>4603821.199999999</v>
      </c>
      <c r="E13" s="19"/>
      <c r="F13" s="13">
        <f>D13+E13</f>
        <v>4603821.199999999</v>
      </c>
    </row>
    <row r="14" spans="1:6" ht="15" customHeight="1">
      <c r="A14" s="110" t="s">
        <v>93</v>
      </c>
      <c r="B14" s="10" t="s">
        <v>34</v>
      </c>
      <c r="C14" s="18">
        <v>0</v>
      </c>
      <c r="D14" s="12">
        <v>0</v>
      </c>
      <c r="E14" s="19"/>
      <c r="F14" s="13">
        <f>D14+E14</f>
        <v>0</v>
      </c>
    </row>
    <row r="15" spans="1:6" ht="15" customHeight="1">
      <c r="A15" s="110" t="s">
        <v>94</v>
      </c>
      <c r="B15" s="10">
        <v>4121</v>
      </c>
      <c r="C15" s="18">
        <v>26133.07</v>
      </c>
      <c r="D15" s="12">
        <v>26133.07</v>
      </c>
      <c r="E15" s="19"/>
      <c r="F15" s="13">
        <f t="shared" si="0"/>
        <v>26133.07</v>
      </c>
    </row>
    <row r="16" spans="1:6" ht="15" customHeight="1">
      <c r="A16" s="110" t="s">
        <v>95</v>
      </c>
      <c r="B16" s="10">
        <v>4123</v>
      </c>
      <c r="C16" s="18">
        <v>0</v>
      </c>
      <c r="D16" s="12">
        <v>0</v>
      </c>
      <c r="E16" s="19"/>
      <c r="F16" s="13">
        <f t="shared" si="0"/>
        <v>0</v>
      </c>
    </row>
    <row r="17" spans="1:6" ht="15" customHeight="1">
      <c r="A17" s="110" t="s">
        <v>96</v>
      </c>
      <c r="B17" s="10" t="s">
        <v>16</v>
      </c>
      <c r="C17" s="18">
        <f>SUM(C18:C21)</f>
        <v>0</v>
      </c>
      <c r="D17" s="12">
        <f>SUM(D18:D21)</f>
        <v>52423.03</v>
      </c>
      <c r="E17" s="112">
        <f>SUM(E18:E21)</f>
        <v>0</v>
      </c>
      <c r="F17" s="13">
        <f>SUM(F18:F21)</f>
        <v>52423.03</v>
      </c>
    </row>
    <row r="18" spans="1:6" ht="15" customHeight="1">
      <c r="A18" s="110" t="s">
        <v>97</v>
      </c>
      <c r="B18" s="10" t="s">
        <v>16</v>
      </c>
      <c r="C18" s="18">
        <v>0</v>
      </c>
      <c r="D18" s="12">
        <v>48216.15</v>
      </c>
      <c r="E18" s="19"/>
      <c r="F18" s="13">
        <f t="shared" si="0"/>
        <v>48216.15</v>
      </c>
    </row>
    <row r="19" spans="1:6" ht="15" customHeight="1">
      <c r="A19" s="110" t="s">
        <v>98</v>
      </c>
      <c r="B19" s="10">
        <v>4221</v>
      </c>
      <c r="C19" s="18">
        <v>0</v>
      </c>
      <c r="D19" s="12">
        <v>4206.88</v>
      </c>
      <c r="E19" s="19"/>
      <c r="F19" s="13">
        <f>D19+E19</f>
        <v>4206.88</v>
      </c>
    </row>
    <row r="20" spans="1:6" ht="15" customHeight="1">
      <c r="A20" s="110" t="s">
        <v>99</v>
      </c>
      <c r="B20" s="10">
        <v>4223</v>
      </c>
      <c r="C20" s="18">
        <v>0</v>
      </c>
      <c r="D20" s="12">
        <v>0</v>
      </c>
      <c r="E20" s="19"/>
      <c r="F20" s="13">
        <f>D20+E20</f>
        <v>0</v>
      </c>
    </row>
    <row r="21" spans="1:6" ht="15" customHeight="1">
      <c r="A21" s="110" t="s">
        <v>100</v>
      </c>
      <c r="B21" s="10" t="s">
        <v>101</v>
      </c>
      <c r="C21" s="18">
        <v>0</v>
      </c>
      <c r="D21" s="12">
        <v>0</v>
      </c>
      <c r="E21" s="19"/>
      <c r="F21" s="13">
        <f>D21+E21</f>
        <v>0</v>
      </c>
    </row>
    <row r="22" spans="1:6" ht="15" customHeight="1">
      <c r="A22" s="14" t="s">
        <v>17</v>
      </c>
      <c r="B22" s="20" t="s">
        <v>24</v>
      </c>
      <c r="C22" s="15">
        <f>C6+C10</f>
        <v>2828080.7</v>
      </c>
      <c r="D22" s="131">
        <f>D6+D10</f>
        <v>7507241.83</v>
      </c>
      <c r="E22" s="16">
        <f>E6+E10</f>
        <v>0</v>
      </c>
      <c r="F22" s="17">
        <f>F6+F10</f>
        <v>7507241.83</v>
      </c>
    </row>
    <row r="23" spans="1:6" ht="15" customHeight="1">
      <c r="A23" s="14" t="s">
        <v>18</v>
      </c>
      <c r="B23" s="20" t="s">
        <v>19</v>
      </c>
      <c r="C23" s="15">
        <f>SUM(C24:C27)</f>
        <v>-96875</v>
      </c>
      <c r="D23" s="131">
        <f>SUM(D24:D27)</f>
        <v>1742695.9900000002</v>
      </c>
      <c r="E23" s="16">
        <f>SUM(E24:E27)</f>
        <v>0</v>
      </c>
      <c r="F23" s="21">
        <f>SUM(F24:F27)</f>
        <v>1742695.9900000002</v>
      </c>
    </row>
    <row r="24" spans="1:6" ht="15" customHeight="1">
      <c r="A24" s="110" t="s">
        <v>102</v>
      </c>
      <c r="B24" s="10" t="s">
        <v>20</v>
      </c>
      <c r="C24" s="18">
        <v>0</v>
      </c>
      <c r="D24" s="12">
        <v>100564.53000000001</v>
      </c>
      <c r="E24" s="38"/>
      <c r="F24" s="13">
        <f t="shared" si="0"/>
        <v>100564.53000000001</v>
      </c>
    </row>
    <row r="25" spans="1:7" ht="15" customHeight="1">
      <c r="A25" s="110" t="s">
        <v>103</v>
      </c>
      <c r="B25" s="10" t="s">
        <v>20</v>
      </c>
      <c r="C25" s="18">
        <v>0</v>
      </c>
      <c r="D25" s="12">
        <v>1739006.4600000002</v>
      </c>
      <c r="E25" s="37"/>
      <c r="F25" s="13">
        <f t="shared" si="0"/>
        <v>1739006.4600000002</v>
      </c>
      <c r="G25" s="113"/>
    </row>
    <row r="26" spans="1:6" ht="15" customHeight="1">
      <c r="A26" s="110" t="s">
        <v>104</v>
      </c>
      <c r="B26" s="10" t="s">
        <v>32</v>
      </c>
      <c r="C26" s="18">
        <v>0</v>
      </c>
      <c r="D26" s="12">
        <v>0</v>
      </c>
      <c r="E26" s="19"/>
      <c r="F26" s="13">
        <f>D26+E26</f>
        <v>0</v>
      </c>
    </row>
    <row r="27" spans="1:6" ht="15" customHeight="1" thickBot="1">
      <c r="A27" s="114" t="s">
        <v>105</v>
      </c>
      <c r="B27" s="10">
        <v>-8124</v>
      </c>
      <c r="C27" s="18">
        <v>-96875</v>
      </c>
      <c r="D27" s="132">
        <v>-96875</v>
      </c>
      <c r="E27" s="19"/>
      <c r="F27" s="13">
        <f>D27+E27</f>
        <v>-96875</v>
      </c>
    </row>
    <row r="28" spans="1:6" ht="15" customHeight="1" thickBot="1">
      <c r="A28" s="22" t="s">
        <v>21</v>
      </c>
      <c r="B28" s="23"/>
      <c r="C28" s="24">
        <f>C23+C10+C6</f>
        <v>2731205.7</v>
      </c>
      <c r="D28" s="25">
        <f>D23+D10+D6</f>
        <v>9249937.82</v>
      </c>
      <c r="E28" s="39">
        <f>E6+E10+E23</f>
        <v>0</v>
      </c>
      <c r="F28" s="26">
        <f>D28+E28</f>
        <v>9249937.82</v>
      </c>
    </row>
    <row r="30" ht="9.75">
      <c r="E30" s="30"/>
    </row>
    <row r="31" spans="1:6" ht="17.25">
      <c r="A31" s="187" t="s">
        <v>31</v>
      </c>
      <c r="B31" s="187"/>
      <c r="C31" s="187"/>
      <c r="D31" s="187"/>
      <c r="E31" s="187"/>
      <c r="F31" s="187"/>
    </row>
    <row r="32" spans="1:6" ht="12" customHeight="1" thickBot="1">
      <c r="A32" s="1"/>
      <c r="B32" s="1"/>
      <c r="C32" s="1"/>
      <c r="D32" s="1"/>
      <c r="E32" s="1"/>
      <c r="F32" s="1"/>
    </row>
    <row r="33" spans="1:6" ht="15" customHeight="1" thickBot="1">
      <c r="A33" s="115" t="s">
        <v>25</v>
      </c>
      <c r="B33" s="27" t="s">
        <v>2</v>
      </c>
      <c r="C33" s="5" t="s">
        <v>82</v>
      </c>
      <c r="D33" s="27" t="s">
        <v>83</v>
      </c>
      <c r="E33" s="5" t="s">
        <v>0</v>
      </c>
      <c r="F33" s="6" t="s">
        <v>84</v>
      </c>
    </row>
    <row r="34" spans="1:6" ht="15" customHeight="1">
      <c r="A34" s="116" t="s">
        <v>106</v>
      </c>
      <c r="B34" s="117" t="s">
        <v>26</v>
      </c>
      <c r="C34" s="28">
        <v>29496.96</v>
      </c>
      <c r="D34" s="28">
        <v>29496.96</v>
      </c>
      <c r="E34" s="28"/>
      <c r="F34" s="29">
        <f>D34+E34</f>
        <v>29496.96</v>
      </c>
    </row>
    <row r="35" spans="1:6" ht="15" customHeight="1">
      <c r="A35" s="118" t="s">
        <v>107</v>
      </c>
      <c r="B35" s="119" t="s">
        <v>26</v>
      </c>
      <c r="C35" s="12">
        <v>258091.53</v>
      </c>
      <c r="D35" s="12">
        <v>260591.53</v>
      </c>
      <c r="E35" s="28"/>
      <c r="F35" s="29">
        <f>D35+E35</f>
        <v>260591.53</v>
      </c>
    </row>
    <row r="36" spans="1:6" ht="15" customHeight="1">
      <c r="A36" s="118" t="s">
        <v>108</v>
      </c>
      <c r="B36" s="119" t="s">
        <v>28</v>
      </c>
      <c r="C36" s="12">
        <v>26317</v>
      </c>
      <c r="D36" s="12">
        <v>146075.74</v>
      </c>
      <c r="E36" s="120"/>
      <c r="F36" s="29">
        <f>D36+E36</f>
        <v>146075.74</v>
      </c>
    </row>
    <row r="37" spans="1:6" ht="15" customHeight="1">
      <c r="A37" s="118" t="s">
        <v>109</v>
      </c>
      <c r="B37" s="119" t="s">
        <v>26</v>
      </c>
      <c r="C37" s="12">
        <v>976800</v>
      </c>
      <c r="D37" s="12">
        <v>1024670</v>
      </c>
      <c r="E37" s="120"/>
      <c r="F37" s="29">
        <f aca="true" t="shared" si="1" ref="F37:F50">D37+E37</f>
        <v>1024670</v>
      </c>
    </row>
    <row r="38" spans="1:6" ht="15" customHeight="1">
      <c r="A38" s="118" t="s">
        <v>110</v>
      </c>
      <c r="B38" s="119" t="s">
        <v>26</v>
      </c>
      <c r="C38" s="12">
        <v>663582.31</v>
      </c>
      <c r="D38" s="12">
        <v>782745.3</v>
      </c>
      <c r="E38" s="343">
        <f>'914 06'!I9</f>
        <v>834.994</v>
      </c>
      <c r="F38" s="29">
        <f>D38+E38</f>
        <v>783580.294</v>
      </c>
    </row>
    <row r="39" spans="1:6" ht="15" customHeight="1">
      <c r="A39" s="118" t="s">
        <v>111</v>
      </c>
      <c r="B39" s="119" t="s">
        <v>26</v>
      </c>
      <c r="C39" s="12">
        <v>0</v>
      </c>
      <c r="D39" s="12">
        <v>4136508.83</v>
      </c>
      <c r="E39" s="343"/>
      <c r="F39" s="29">
        <f>D39+E39</f>
        <v>4136508.83</v>
      </c>
    </row>
    <row r="40" spans="1:6" ht="15" customHeight="1">
      <c r="A40" s="118" t="s">
        <v>112</v>
      </c>
      <c r="B40" s="119" t="s">
        <v>28</v>
      </c>
      <c r="C40" s="12">
        <v>92196.15</v>
      </c>
      <c r="D40" s="12">
        <v>526381.04</v>
      </c>
      <c r="E40" s="343">
        <f>'917 06'!I9</f>
        <v>3212.426</v>
      </c>
      <c r="F40" s="29">
        <f>D40+E40</f>
        <v>529593.466</v>
      </c>
    </row>
    <row r="41" spans="1:6" ht="15" customHeight="1">
      <c r="A41" s="118" t="s">
        <v>113</v>
      </c>
      <c r="B41" s="119" t="s">
        <v>26</v>
      </c>
      <c r="C41" s="12">
        <v>26600</v>
      </c>
      <c r="D41" s="12">
        <v>12074</v>
      </c>
      <c r="E41" s="343"/>
      <c r="F41" s="29">
        <f>D41+E41</f>
        <v>12074</v>
      </c>
    </row>
    <row r="42" spans="1:6" ht="15" customHeight="1">
      <c r="A42" s="118" t="s">
        <v>114</v>
      </c>
      <c r="B42" s="119" t="s">
        <v>27</v>
      </c>
      <c r="C42" s="12">
        <v>308597</v>
      </c>
      <c r="D42" s="12">
        <v>916234.5800000001</v>
      </c>
      <c r="E42" s="343">
        <f>'920 06'!I9</f>
        <v>-4047.42</v>
      </c>
      <c r="F42" s="29">
        <f>D42+E42</f>
        <v>912187.16</v>
      </c>
    </row>
    <row r="43" spans="1:6" ht="15" customHeight="1">
      <c r="A43" s="118" t="s">
        <v>115</v>
      </c>
      <c r="B43" s="119" t="s">
        <v>27</v>
      </c>
      <c r="C43" s="12">
        <v>0</v>
      </c>
      <c r="D43" s="12">
        <v>0</v>
      </c>
      <c r="E43" s="343"/>
      <c r="F43" s="29">
        <f t="shared" si="1"/>
        <v>0</v>
      </c>
    </row>
    <row r="44" spans="1:6" ht="15" customHeight="1">
      <c r="A44" s="118" t="s">
        <v>116</v>
      </c>
      <c r="B44" s="119" t="s">
        <v>28</v>
      </c>
      <c r="C44" s="12">
        <v>231817</v>
      </c>
      <c r="D44" s="12">
        <v>1146588.2600000002</v>
      </c>
      <c r="E44" s="343"/>
      <c r="F44" s="29">
        <f t="shared" si="1"/>
        <v>1146588.2600000002</v>
      </c>
    </row>
    <row r="45" spans="1:8" ht="15" customHeight="1">
      <c r="A45" s="118" t="s">
        <v>117</v>
      </c>
      <c r="B45" s="119" t="s">
        <v>28</v>
      </c>
      <c r="C45" s="12">
        <v>17500</v>
      </c>
      <c r="D45" s="12">
        <v>17500</v>
      </c>
      <c r="E45" s="120"/>
      <c r="F45" s="29">
        <f t="shared" si="1"/>
        <v>17500</v>
      </c>
      <c r="H45" s="30"/>
    </row>
    <row r="46" spans="1:6" ht="15" customHeight="1">
      <c r="A46" s="118" t="s">
        <v>118</v>
      </c>
      <c r="B46" s="119" t="s">
        <v>26</v>
      </c>
      <c r="C46" s="12">
        <v>6207.75</v>
      </c>
      <c r="D46" s="12">
        <v>9541.25</v>
      </c>
      <c r="E46" s="120"/>
      <c r="F46" s="29">
        <f t="shared" si="1"/>
        <v>9541.25</v>
      </c>
    </row>
    <row r="47" spans="1:6" ht="15" customHeight="1">
      <c r="A47" s="118" t="s">
        <v>119</v>
      </c>
      <c r="B47" s="119" t="s">
        <v>28</v>
      </c>
      <c r="C47" s="12">
        <v>67000</v>
      </c>
      <c r="D47" s="12">
        <v>139946.22</v>
      </c>
      <c r="E47" s="120"/>
      <c r="F47" s="29">
        <f t="shared" si="1"/>
        <v>139946.22</v>
      </c>
    </row>
    <row r="48" spans="1:6" ht="15" customHeight="1">
      <c r="A48" s="118" t="s">
        <v>120</v>
      </c>
      <c r="B48" s="119" t="s">
        <v>28</v>
      </c>
      <c r="C48" s="12">
        <v>5000</v>
      </c>
      <c r="D48" s="12">
        <v>11471.73</v>
      </c>
      <c r="E48" s="120"/>
      <c r="F48" s="29">
        <f t="shared" si="1"/>
        <v>11471.73</v>
      </c>
    </row>
    <row r="49" spans="1:6" ht="15" customHeight="1">
      <c r="A49" s="118" t="s">
        <v>121</v>
      </c>
      <c r="B49" s="119" t="s">
        <v>28</v>
      </c>
      <c r="C49" s="12">
        <v>18000</v>
      </c>
      <c r="D49" s="12">
        <v>79990.17</v>
      </c>
      <c r="E49" s="120"/>
      <c r="F49" s="29">
        <f t="shared" si="1"/>
        <v>79990.17</v>
      </c>
    </row>
    <row r="50" spans="1:6" ht="15" customHeight="1" thickBot="1">
      <c r="A50" s="118" t="s">
        <v>122</v>
      </c>
      <c r="B50" s="119" t="s">
        <v>28</v>
      </c>
      <c r="C50" s="12">
        <v>4000</v>
      </c>
      <c r="D50" s="12">
        <v>10122.21</v>
      </c>
      <c r="E50" s="120"/>
      <c r="F50" s="29">
        <f t="shared" si="1"/>
        <v>10122.21</v>
      </c>
    </row>
    <row r="51" spans="1:6" ht="15" customHeight="1" thickBot="1">
      <c r="A51" s="121" t="s">
        <v>29</v>
      </c>
      <c r="B51" s="122"/>
      <c r="C51" s="25">
        <f>SUM(C34:C50)</f>
        <v>2731205.7</v>
      </c>
      <c r="D51" s="25">
        <f>SUM(D34:D50)</f>
        <v>9249937.820000002</v>
      </c>
      <c r="E51" s="344">
        <f>SUM(E34:E50)</f>
        <v>0</v>
      </c>
      <c r="F51" s="26">
        <f>SUM(F34:F50)</f>
        <v>9249937.820000002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2" width="3.8515625" style="1" customWidth="1"/>
    <col min="3" max="3" width="9.57421875" style="1" bestFit="1" customWidth="1"/>
    <col min="4" max="4" width="5.57421875" style="1" customWidth="1"/>
    <col min="5" max="5" width="6.421875" style="1" customWidth="1"/>
    <col min="6" max="6" width="41.28125" style="1" customWidth="1"/>
    <col min="7" max="8" width="9.140625" style="1" customWidth="1"/>
    <col min="9" max="9" width="9.57421875" style="1" bestFit="1" customWidth="1"/>
    <col min="10" max="16384" width="9.140625" style="1" customWidth="1"/>
  </cols>
  <sheetData>
    <row r="1" spans="1:10" ht="17.25">
      <c r="A1" s="195" t="s">
        <v>377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1:10" ht="15">
      <c r="A3" s="196" t="s">
        <v>38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2.75">
      <c r="A4" s="41"/>
      <c r="B4" s="41"/>
      <c r="C4" s="41"/>
      <c r="D4" s="41"/>
      <c r="E4" s="41"/>
      <c r="F4" s="41"/>
      <c r="G4" s="41"/>
      <c r="H4" s="41"/>
      <c r="I4" s="41"/>
      <c r="J4" s="42"/>
    </row>
    <row r="5" spans="1:10" ht="15">
      <c r="A5" s="197" t="s">
        <v>35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2" customHeight="1" thickBot="1">
      <c r="A6" s="43"/>
      <c r="B6" s="43"/>
      <c r="C6" s="43"/>
      <c r="D6" s="43"/>
      <c r="E6" s="43"/>
      <c r="F6" s="43"/>
      <c r="G6" s="43"/>
      <c r="H6" s="43"/>
      <c r="I6" s="43"/>
      <c r="J6" s="44" t="s">
        <v>39</v>
      </c>
    </row>
    <row r="7" spans="1:10" ht="12.75" customHeight="1" thickBot="1">
      <c r="A7" s="198" t="s">
        <v>37</v>
      </c>
      <c r="B7" s="200" t="s">
        <v>4</v>
      </c>
      <c r="C7" s="202" t="s">
        <v>6</v>
      </c>
      <c r="D7" s="202" t="s">
        <v>7</v>
      </c>
      <c r="E7" s="202" t="s">
        <v>8</v>
      </c>
      <c r="F7" s="204" t="s">
        <v>40</v>
      </c>
      <c r="G7" s="206" t="s">
        <v>82</v>
      </c>
      <c r="H7" s="191" t="s">
        <v>83</v>
      </c>
      <c r="I7" s="193" t="s">
        <v>380</v>
      </c>
      <c r="J7" s="194"/>
    </row>
    <row r="8" spans="1:10" ht="12.75" customHeight="1" thickBot="1">
      <c r="A8" s="199"/>
      <c r="B8" s="201"/>
      <c r="C8" s="203"/>
      <c r="D8" s="203"/>
      <c r="E8" s="203"/>
      <c r="F8" s="205"/>
      <c r="G8" s="207"/>
      <c r="H8" s="192"/>
      <c r="I8" s="35" t="s">
        <v>22</v>
      </c>
      <c r="J8" s="36" t="s">
        <v>84</v>
      </c>
    </row>
    <row r="9" spans="1:10" ht="12.75" customHeight="1" thickBot="1">
      <c r="A9" s="188" t="s">
        <v>33</v>
      </c>
      <c r="B9" s="46" t="s">
        <v>5</v>
      </c>
      <c r="C9" s="40" t="s">
        <v>6</v>
      </c>
      <c r="D9" s="40" t="s">
        <v>7</v>
      </c>
      <c r="E9" s="40" t="s">
        <v>8</v>
      </c>
      <c r="F9" s="45" t="s">
        <v>41</v>
      </c>
      <c r="G9" s="47">
        <f>G10+G31+G39</f>
        <v>551619.18</v>
      </c>
      <c r="H9" s="47">
        <f>H10+H31+H39</f>
        <v>620630.48</v>
      </c>
      <c r="I9" s="330">
        <f>I10+I31+I39</f>
        <v>834.994</v>
      </c>
      <c r="J9" s="48">
        <f>J10+J31+J39</f>
        <v>621465.4739999999</v>
      </c>
    </row>
    <row r="10" spans="1:10" ht="12.75" customHeight="1" thickBot="1">
      <c r="A10" s="189"/>
      <c r="B10" s="49" t="s">
        <v>36</v>
      </c>
      <c r="C10" s="50" t="s">
        <v>3</v>
      </c>
      <c r="D10" s="51" t="s">
        <v>3</v>
      </c>
      <c r="E10" s="51" t="s">
        <v>3</v>
      </c>
      <c r="F10" s="52" t="s">
        <v>42</v>
      </c>
      <c r="G10" s="53">
        <f>G11+G17+G20+G24+G26+G29</f>
        <v>2320</v>
      </c>
      <c r="H10" s="53">
        <f>H11+H17+H20+H24+H26+H29</f>
        <v>3177.9</v>
      </c>
      <c r="I10" s="331">
        <f>I11+I17+I20+I24+I26+I29</f>
        <v>834.994</v>
      </c>
      <c r="J10" s="54">
        <f>J11+J17+J20+J24+J26+J29</f>
        <v>4012.8940000000002</v>
      </c>
    </row>
    <row r="11" spans="1:10" ht="12.75" customHeight="1">
      <c r="A11" s="189"/>
      <c r="B11" s="55" t="s">
        <v>43</v>
      </c>
      <c r="C11" s="56" t="s">
        <v>44</v>
      </c>
      <c r="D11" s="57">
        <v>2229</v>
      </c>
      <c r="E11" s="57" t="s">
        <v>3</v>
      </c>
      <c r="F11" s="58" t="s">
        <v>45</v>
      </c>
      <c r="G11" s="59">
        <f>SUM(G12:G16)</f>
        <v>1320</v>
      </c>
      <c r="H11" s="59">
        <f>SUM(H12:H16)</f>
        <v>1657.55</v>
      </c>
      <c r="I11" s="332">
        <f>SUM(I12:I16)</f>
        <v>0</v>
      </c>
      <c r="J11" s="59">
        <f>SUM(J12:J16)</f>
        <v>1657.55</v>
      </c>
    </row>
    <row r="12" spans="1:10" ht="12.75" customHeight="1">
      <c r="A12" s="189"/>
      <c r="B12" s="60"/>
      <c r="C12" s="61"/>
      <c r="D12" s="62"/>
      <c r="E12" s="84">
        <v>5122</v>
      </c>
      <c r="F12" s="77" t="s">
        <v>123</v>
      </c>
      <c r="G12" s="34">
        <v>0</v>
      </c>
      <c r="H12" s="34">
        <v>40</v>
      </c>
      <c r="I12" s="333"/>
      <c r="J12" s="67">
        <f>H12+I12</f>
        <v>40</v>
      </c>
    </row>
    <row r="13" spans="1:10" ht="12.75" customHeight="1">
      <c r="A13" s="189"/>
      <c r="B13" s="60"/>
      <c r="C13" s="61"/>
      <c r="D13" s="62"/>
      <c r="E13" s="63">
        <v>5139</v>
      </c>
      <c r="F13" s="64" t="s">
        <v>46</v>
      </c>
      <c r="G13" s="34">
        <v>50</v>
      </c>
      <c r="H13" s="34">
        <v>50</v>
      </c>
      <c r="I13" s="333"/>
      <c r="J13" s="67">
        <f>H13+I13</f>
        <v>50</v>
      </c>
    </row>
    <row r="14" spans="1:10" ht="12.75" customHeight="1">
      <c r="A14" s="189"/>
      <c r="B14" s="60"/>
      <c r="C14" s="61"/>
      <c r="D14" s="62"/>
      <c r="E14" s="68">
        <v>5166</v>
      </c>
      <c r="F14" s="64" t="s">
        <v>47</v>
      </c>
      <c r="G14" s="34">
        <v>750</v>
      </c>
      <c r="H14" s="34">
        <v>750</v>
      </c>
      <c r="I14" s="333"/>
      <c r="J14" s="67">
        <f>H14+I14</f>
        <v>750</v>
      </c>
    </row>
    <row r="15" spans="1:10" ht="12.75" customHeight="1">
      <c r="A15" s="189"/>
      <c r="B15" s="60"/>
      <c r="C15" s="61"/>
      <c r="D15" s="62"/>
      <c r="E15" s="63">
        <v>5168</v>
      </c>
      <c r="F15" s="69" t="s">
        <v>48</v>
      </c>
      <c r="G15" s="34">
        <v>100</v>
      </c>
      <c r="H15" s="34">
        <v>100</v>
      </c>
      <c r="I15" s="333"/>
      <c r="J15" s="67">
        <f>H15+I15</f>
        <v>100</v>
      </c>
    </row>
    <row r="16" spans="1:10" ht="12.75" customHeight="1">
      <c r="A16" s="189"/>
      <c r="B16" s="60"/>
      <c r="C16" s="61"/>
      <c r="D16" s="62"/>
      <c r="E16" s="68">
        <v>5169</v>
      </c>
      <c r="F16" s="69" t="s">
        <v>49</v>
      </c>
      <c r="G16" s="34">
        <v>420</v>
      </c>
      <c r="H16" s="34">
        <f>420+337.55-40</f>
        <v>717.55</v>
      </c>
      <c r="I16" s="333"/>
      <c r="J16" s="67">
        <f>H16+I16</f>
        <v>717.55</v>
      </c>
    </row>
    <row r="17" spans="1:10" ht="12.75" customHeight="1">
      <c r="A17" s="189"/>
      <c r="B17" s="70" t="s">
        <v>43</v>
      </c>
      <c r="C17" s="71" t="s">
        <v>50</v>
      </c>
      <c r="D17" s="72">
        <v>2229</v>
      </c>
      <c r="E17" s="72" t="s">
        <v>3</v>
      </c>
      <c r="F17" s="73" t="s">
        <v>51</v>
      </c>
      <c r="G17" s="74">
        <f>SUM(G18:G19)</f>
        <v>50</v>
      </c>
      <c r="H17" s="74">
        <f>SUM(H18:H19)</f>
        <v>50</v>
      </c>
      <c r="I17" s="334">
        <f>SUM(I18:I19)</f>
        <v>0</v>
      </c>
      <c r="J17" s="74">
        <f>SUM(J18:J19)</f>
        <v>50</v>
      </c>
    </row>
    <row r="18" spans="1:10" ht="12.75" customHeight="1">
      <c r="A18" s="189"/>
      <c r="B18" s="75"/>
      <c r="C18" s="76"/>
      <c r="D18" s="63"/>
      <c r="E18" s="63">
        <v>5167</v>
      </c>
      <c r="F18" s="77" t="s">
        <v>52</v>
      </c>
      <c r="G18" s="34">
        <v>10</v>
      </c>
      <c r="H18" s="34">
        <v>10</v>
      </c>
      <c r="I18" s="335"/>
      <c r="J18" s="67">
        <f>H18+I18</f>
        <v>10</v>
      </c>
    </row>
    <row r="19" spans="1:10" ht="12.75" customHeight="1">
      <c r="A19" s="189"/>
      <c r="B19" s="70"/>
      <c r="C19" s="71"/>
      <c r="D19" s="72"/>
      <c r="E19" s="63">
        <v>5169</v>
      </c>
      <c r="F19" s="69" t="s">
        <v>49</v>
      </c>
      <c r="G19" s="34">
        <v>40</v>
      </c>
      <c r="H19" s="34">
        <v>40</v>
      </c>
      <c r="I19" s="335"/>
      <c r="J19" s="67">
        <f>H19+I19</f>
        <v>40</v>
      </c>
    </row>
    <row r="20" spans="1:10" ht="12.75" customHeight="1">
      <c r="A20" s="189"/>
      <c r="B20" s="79" t="s">
        <v>43</v>
      </c>
      <c r="C20" s="71" t="s">
        <v>53</v>
      </c>
      <c r="D20" s="72">
        <v>2219</v>
      </c>
      <c r="E20" s="72" t="s">
        <v>3</v>
      </c>
      <c r="F20" s="73" t="s">
        <v>54</v>
      </c>
      <c r="G20" s="74">
        <f>SUM(G21:G23)</f>
        <v>250</v>
      </c>
      <c r="H20" s="74">
        <f>SUM(H21:H23)</f>
        <v>770.35</v>
      </c>
      <c r="I20" s="342">
        <f>SUM(I21:I23)</f>
        <v>834.994</v>
      </c>
      <c r="J20" s="74">
        <f>SUM(J21:J23)</f>
        <v>1605.344</v>
      </c>
    </row>
    <row r="21" spans="1:10" ht="12.75" customHeight="1">
      <c r="A21" s="189"/>
      <c r="B21" s="60"/>
      <c r="C21" s="61"/>
      <c r="D21" s="62"/>
      <c r="E21" s="63">
        <v>5139</v>
      </c>
      <c r="F21" s="64" t="s">
        <v>46</v>
      </c>
      <c r="G21" s="34">
        <v>0</v>
      </c>
      <c r="H21" s="34">
        <v>0</v>
      </c>
      <c r="I21" s="333">
        <v>844.296</v>
      </c>
      <c r="J21" s="67">
        <f>H21+I21</f>
        <v>844.296</v>
      </c>
    </row>
    <row r="22" spans="1:10" ht="12.75" customHeight="1">
      <c r="A22" s="189"/>
      <c r="B22" s="60"/>
      <c r="C22" s="61"/>
      <c r="D22" s="62"/>
      <c r="E22" s="68">
        <v>5166</v>
      </c>
      <c r="F22" s="64" t="s">
        <v>47</v>
      </c>
      <c r="G22" s="34">
        <v>0</v>
      </c>
      <c r="H22" s="66">
        <v>490.35</v>
      </c>
      <c r="I22" s="333"/>
      <c r="J22" s="67">
        <f>H22+I22</f>
        <v>490.35</v>
      </c>
    </row>
    <row r="23" spans="1:10" ht="12.75" customHeight="1">
      <c r="A23" s="189"/>
      <c r="B23" s="80"/>
      <c r="C23" s="81"/>
      <c r="D23" s="72"/>
      <c r="E23" s="62">
        <v>5169</v>
      </c>
      <c r="F23" s="82" t="s">
        <v>49</v>
      </c>
      <c r="G23" s="65">
        <v>250</v>
      </c>
      <c r="H23" s="65">
        <f>250+30</f>
        <v>280</v>
      </c>
      <c r="I23" s="335">
        <v>-9.302</v>
      </c>
      <c r="J23" s="67">
        <f>H23+I23</f>
        <v>270.698</v>
      </c>
    </row>
    <row r="24" spans="1:10" ht="12.75" customHeight="1">
      <c r="A24" s="189"/>
      <c r="B24" s="79" t="s">
        <v>43</v>
      </c>
      <c r="C24" s="71" t="s">
        <v>55</v>
      </c>
      <c r="D24" s="72">
        <v>2229</v>
      </c>
      <c r="E24" s="72" t="s">
        <v>3</v>
      </c>
      <c r="F24" s="73" t="s">
        <v>56</v>
      </c>
      <c r="G24" s="74">
        <f>SUM(G25:G25)</f>
        <v>500</v>
      </c>
      <c r="H24" s="74">
        <f>SUM(H25:H25)</f>
        <v>500</v>
      </c>
      <c r="I24" s="334">
        <f>SUM(I25:I25)</f>
        <v>0</v>
      </c>
      <c r="J24" s="74">
        <f>SUM(J25:J25)</f>
        <v>500</v>
      </c>
    </row>
    <row r="25" spans="1:10" ht="12.75" customHeight="1">
      <c r="A25" s="189"/>
      <c r="B25" s="80"/>
      <c r="C25" s="81"/>
      <c r="D25" s="72"/>
      <c r="E25" s="84">
        <v>5909</v>
      </c>
      <c r="F25" s="85" t="s">
        <v>57</v>
      </c>
      <c r="G25" s="65">
        <v>500</v>
      </c>
      <c r="H25" s="65">
        <v>500</v>
      </c>
      <c r="I25" s="335"/>
      <c r="J25" s="67">
        <f>H25+I25</f>
        <v>500</v>
      </c>
    </row>
    <row r="26" spans="1:10" ht="12.75" customHeight="1">
      <c r="A26" s="189"/>
      <c r="B26" s="79" t="s">
        <v>43</v>
      </c>
      <c r="C26" s="71" t="s">
        <v>58</v>
      </c>
      <c r="D26" s="72">
        <v>2291</v>
      </c>
      <c r="E26" s="72" t="s">
        <v>3</v>
      </c>
      <c r="F26" s="73" t="s">
        <v>59</v>
      </c>
      <c r="G26" s="74">
        <f>SUM(G27:G28)</f>
        <v>50</v>
      </c>
      <c r="H26" s="74">
        <f>SUM(H27:H28)</f>
        <v>50</v>
      </c>
      <c r="I26" s="334">
        <f>SUM(I27:I28)</f>
        <v>0</v>
      </c>
      <c r="J26" s="74">
        <f>SUM(J27:J28)</f>
        <v>50</v>
      </c>
    </row>
    <row r="27" spans="1:10" ht="12.75" customHeight="1">
      <c r="A27" s="189"/>
      <c r="B27" s="80"/>
      <c r="C27" s="81"/>
      <c r="D27" s="86"/>
      <c r="E27" s="63">
        <v>5169</v>
      </c>
      <c r="F27" s="64" t="s">
        <v>60</v>
      </c>
      <c r="G27" s="87">
        <v>30</v>
      </c>
      <c r="H27" s="87">
        <v>30</v>
      </c>
      <c r="I27" s="336"/>
      <c r="J27" s="67">
        <f>H27+I27</f>
        <v>30</v>
      </c>
    </row>
    <row r="28" spans="1:10" ht="12.75" customHeight="1">
      <c r="A28" s="189"/>
      <c r="B28" s="94"/>
      <c r="C28" s="76"/>
      <c r="D28" s="63"/>
      <c r="E28" s="63">
        <v>5175</v>
      </c>
      <c r="F28" s="64" t="s">
        <v>61</v>
      </c>
      <c r="G28" s="65">
        <v>20</v>
      </c>
      <c r="H28" s="65">
        <v>20</v>
      </c>
      <c r="I28" s="335"/>
      <c r="J28" s="65">
        <f>H28+I28</f>
        <v>20</v>
      </c>
    </row>
    <row r="29" spans="1:10" ht="12.75" customHeight="1">
      <c r="A29" s="189"/>
      <c r="B29" s="97" t="s">
        <v>43</v>
      </c>
      <c r="C29" s="98" t="s">
        <v>124</v>
      </c>
      <c r="D29" s="99">
        <v>6310</v>
      </c>
      <c r="E29" s="123" t="s">
        <v>3</v>
      </c>
      <c r="F29" s="124" t="s">
        <v>125</v>
      </c>
      <c r="G29" s="83">
        <f>SUM(G30:G30)</f>
        <v>150</v>
      </c>
      <c r="H29" s="83">
        <f>SUM(H30:H30)</f>
        <v>150</v>
      </c>
      <c r="I29" s="337">
        <f>SUM(I30:I30)</f>
        <v>0</v>
      </c>
      <c r="J29" s="125">
        <f>SUM(J30:J30)</f>
        <v>150</v>
      </c>
    </row>
    <row r="30" spans="1:10" ht="12.75" customHeight="1" thickBot="1">
      <c r="A30" s="189"/>
      <c r="B30" s="80"/>
      <c r="C30" s="81"/>
      <c r="D30" s="72"/>
      <c r="E30" s="126">
        <v>5163</v>
      </c>
      <c r="F30" s="127" t="s">
        <v>126</v>
      </c>
      <c r="G30" s="34">
        <v>150</v>
      </c>
      <c r="H30" s="34">
        <v>150</v>
      </c>
      <c r="I30" s="335"/>
      <c r="J30" s="67">
        <f>H30+I30</f>
        <v>150</v>
      </c>
    </row>
    <row r="31" spans="1:10" ht="12.75" customHeight="1" thickBot="1">
      <c r="A31" s="189"/>
      <c r="B31" s="92" t="s">
        <v>36</v>
      </c>
      <c r="C31" s="50" t="s">
        <v>3</v>
      </c>
      <c r="D31" s="51" t="s">
        <v>3</v>
      </c>
      <c r="E31" s="51" t="s">
        <v>3</v>
      </c>
      <c r="F31" s="52" t="s">
        <v>62</v>
      </c>
      <c r="G31" s="53">
        <f>G32+G36</f>
        <v>2372</v>
      </c>
      <c r="H31" s="53">
        <f>H32+H36</f>
        <v>2487.5</v>
      </c>
      <c r="I31" s="331">
        <f>I32+I36</f>
        <v>0</v>
      </c>
      <c r="J31" s="54">
        <f>J32+J36</f>
        <v>2487.5</v>
      </c>
    </row>
    <row r="32" spans="1:10" ht="12.75" customHeight="1">
      <c r="A32" s="189"/>
      <c r="B32" s="93" t="s">
        <v>43</v>
      </c>
      <c r="C32" s="56" t="s">
        <v>63</v>
      </c>
      <c r="D32" s="57">
        <v>2223</v>
      </c>
      <c r="E32" s="57" t="s">
        <v>3</v>
      </c>
      <c r="F32" s="58" t="s">
        <v>64</v>
      </c>
      <c r="G32" s="59">
        <f>SUM(G33:G35)</f>
        <v>2000</v>
      </c>
      <c r="H32" s="59">
        <f>SUM(H33:H35)</f>
        <v>2115.5</v>
      </c>
      <c r="I32" s="332">
        <f>SUM(I33:I35)</f>
        <v>0</v>
      </c>
      <c r="J32" s="59">
        <f>SUM(J33:J35)</f>
        <v>2115.5</v>
      </c>
    </row>
    <row r="33" spans="1:10" s="95" customFormat="1" ht="12.75" customHeight="1">
      <c r="A33" s="189"/>
      <c r="B33" s="94"/>
      <c r="C33" s="76"/>
      <c r="D33" s="63"/>
      <c r="E33" s="63">
        <v>5139</v>
      </c>
      <c r="F33" s="64" t="s">
        <v>46</v>
      </c>
      <c r="G33" s="107">
        <v>100</v>
      </c>
      <c r="H33" s="107">
        <f>100+30</f>
        <v>130</v>
      </c>
      <c r="I33" s="338"/>
      <c r="J33" s="67">
        <f>H33+I33</f>
        <v>130</v>
      </c>
    </row>
    <row r="34" spans="1:10" s="95" customFormat="1" ht="12.75" customHeight="1">
      <c r="A34" s="189"/>
      <c r="B34" s="94"/>
      <c r="C34" s="76"/>
      <c r="D34" s="63"/>
      <c r="E34" s="63">
        <v>5169</v>
      </c>
      <c r="F34" s="69" t="s">
        <v>49</v>
      </c>
      <c r="G34" s="107">
        <v>1880</v>
      </c>
      <c r="H34" s="107">
        <f>1880+115.5-30</f>
        <v>1965.5</v>
      </c>
      <c r="I34" s="338"/>
      <c r="J34" s="67">
        <f>H34+I34</f>
        <v>1965.5</v>
      </c>
    </row>
    <row r="35" spans="1:10" s="95" customFormat="1" ht="12.75" customHeight="1">
      <c r="A35" s="189"/>
      <c r="B35" s="94"/>
      <c r="C35" s="76"/>
      <c r="D35" s="63"/>
      <c r="E35" s="63">
        <v>5175</v>
      </c>
      <c r="F35" s="96" t="s">
        <v>61</v>
      </c>
      <c r="G35" s="107">
        <v>20</v>
      </c>
      <c r="H35" s="107">
        <v>20</v>
      </c>
      <c r="I35" s="338"/>
      <c r="J35" s="67">
        <f>H35+I35</f>
        <v>20</v>
      </c>
    </row>
    <row r="36" spans="1:10" s="95" customFormat="1" ht="12.75" customHeight="1">
      <c r="A36" s="189"/>
      <c r="B36" s="97" t="s">
        <v>43</v>
      </c>
      <c r="C36" s="98" t="s">
        <v>65</v>
      </c>
      <c r="D36" s="99">
        <v>2223</v>
      </c>
      <c r="E36" s="99" t="s">
        <v>3</v>
      </c>
      <c r="F36" s="100" t="s">
        <v>66</v>
      </c>
      <c r="G36" s="101">
        <f>SUM(G37:G38)</f>
        <v>372</v>
      </c>
      <c r="H36" s="101">
        <f>SUM(H37:H38)</f>
        <v>372</v>
      </c>
      <c r="I36" s="337">
        <f>SUM(I37:I38)</f>
        <v>0</v>
      </c>
      <c r="J36" s="74">
        <f>SUM(J37:J38)</f>
        <v>372</v>
      </c>
    </row>
    <row r="37" spans="1:10" s="95" customFormat="1" ht="12.75" customHeight="1">
      <c r="A37" s="189"/>
      <c r="B37" s="97"/>
      <c r="C37" s="98"/>
      <c r="D37" s="99"/>
      <c r="E37" s="63">
        <v>5164</v>
      </c>
      <c r="F37" s="69" t="s">
        <v>67</v>
      </c>
      <c r="G37" s="107">
        <v>180</v>
      </c>
      <c r="H37" s="107">
        <f>180-4</f>
        <v>176</v>
      </c>
      <c r="I37" s="338"/>
      <c r="J37" s="67">
        <f>H37+I37</f>
        <v>176</v>
      </c>
    </row>
    <row r="38" spans="1:10" s="95" customFormat="1" ht="12.75" customHeight="1" thickBot="1">
      <c r="A38" s="189"/>
      <c r="B38" s="94"/>
      <c r="C38" s="76"/>
      <c r="D38" s="63"/>
      <c r="E38" s="63">
        <v>5169</v>
      </c>
      <c r="F38" s="69" t="s">
        <v>49</v>
      </c>
      <c r="G38" s="107">
        <v>192</v>
      </c>
      <c r="H38" s="107">
        <f>192+4</f>
        <v>196</v>
      </c>
      <c r="I38" s="338"/>
      <c r="J38" s="67">
        <f>H38+I38</f>
        <v>196</v>
      </c>
    </row>
    <row r="39" spans="1:10" ht="12.75" customHeight="1" thickBot="1">
      <c r="A39" s="189"/>
      <c r="B39" s="49" t="s">
        <v>36</v>
      </c>
      <c r="C39" s="50" t="s">
        <v>3</v>
      </c>
      <c r="D39" s="51" t="s">
        <v>3</v>
      </c>
      <c r="E39" s="51" t="s">
        <v>3</v>
      </c>
      <c r="F39" s="52" t="s">
        <v>68</v>
      </c>
      <c r="G39" s="53">
        <f>G40+G42+G44+G47+G49+G51+G57</f>
        <v>546927.18</v>
      </c>
      <c r="H39" s="53">
        <f>H40+H42+H44+H47+H49+H51+H57</f>
        <v>614965.08</v>
      </c>
      <c r="I39" s="331">
        <f>I40+I42+I44+I47+I49+I51+I57</f>
        <v>0</v>
      </c>
      <c r="J39" s="54">
        <f>J40+J42+J44+J47+J49+J51+J57</f>
        <v>614965.08</v>
      </c>
    </row>
    <row r="40" spans="1:10" ht="12.75" customHeight="1">
      <c r="A40" s="189"/>
      <c r="B40" s="55" t="s">
        <v>43</v>
      </c>
      <c r="C40" s="56" t="s">
        <v>69</v>
      </c>
      <c r="D40" s="57">
        <v>2292</v>
      </c>
      <c r="E40" s="57" t="s">
        <v>3</v>
      </c>
      <c r="F40" s="58" t="s">
        <v>70</v>
      </c>
      <c r="G40" s="59">
        <f>SUM(G41)</f>
        <v>235000</v>
      </c>
      <c r="H40" s="59">
        <f>SUM(H41)</f>
        <v>235000</v>
      </c>
      <c r="I40" s="332">
        <f>SUM(I41)</f>
        <v>0</v>
      </c>
      <c r="J40" s="59">
        <f>SUM(J41)</f>
        <v>235000</v>
      </c>
    </row>
    <row r="41" spans="1:10" ht="12.75" customHeight="1">
      <c r="A41" s="189"/>
      <c r="B41" s="75"/>
      <c r="C41" s="76"/>
      <c r="D41" s="63"/>
      <c r="E41" s="63">
        <v>5193</v>
      </c>
      <c r="F41" s="64" t="s">
        <v>71</v>
      </c>
      <c r="G41" s="34">
        <v>235000</v>
      </c>
      <c r="H41" s="34">
        <v>235000</v>
      </c>
      <c r="I41" s="335"/>
      <c r="J41" s="67">
        <f>H41+I41</f>
        <v>235000</v>
      </c>
    </row>
    <row r="42" spans="1:10" ht="20.25">
      <c r="A42" s="189"/>
      <c r="B42" s="70" t="s">
        <v>43</v>
      </c>
      <c r="C42" s="71" t="s">
        <v>127</v>
      </c>
      <c r="D42" s="72">
        <v>2292</v>
      </c>
      <c r="E42" s="72" t="s">
        <v>3</v>
      </c>
      <c r="F42" s="102" t="s">
        <v>128</v>
      </c>
      <c r="G42" s="74">
        <f>SUM(G43:G43)</f>
        <v>0</v>
      </c>
      <c r="H42" s="74">
        <f>SUM(H43:H43)</f>
        <v>65500</v>
      </c>
      <c r="I42" s="334">
        <f>SUM(I43:I43)</f>
        <v>0</v>
      </c>
      <c r="J42" s="74">
        <f>SUM(J43:J43)</f>
        <v>65500</v>
      </c>
    </row>
    <row r="43" spans="1:10" ht="12.75" customHeight="1">
      <c r="A43" s="189"/>
      <c r="B43" s="75"/>
      <c r="C43" s="76"/>
      <c r="D43" s="63"/>
      <c r="E43" s="63">
        <v>5193</v>
      </c>
      <c r="F43" s="64" t="s">
        <v>74</v>
      </c>
      <c r="G43" s="65">
        <v>0</v>
      </c>
      <c r="H43" s="65">
        <f>60000+5500</f>
        <v>65500</v>
      </c>
      <c r="I43" s="335"/>
      <c r="J43" s="67">
        <f>H43+I43</f>
        <v>65500</v>
      </c>
    </row>
    <row r="44" spans="1:10" ht="12.75" customHeight="1">
      <c r="A44" s="189"/>
      <c r="B44" s="70" t="s">
        <v>43</v>
      </c>
      <c r="C44" s="71" t="s">
        <v>72</v>
      </c>
      <c r="D44" s="72">
        <v>2292</v>
      </c>
      <c r="E44" s="72" t="s">
        <v>3</v>
      </c>
      <c r="F44" s="102" t="s">
        <v>73</v>
      </c>
      <c r="G44" s="101">
        <f>SUM(G45:G46)</f>
        <v>295000</v>
      </c>
      <c r="H44" s="101">
        <f>SUM(H45:H46)</f>
        <v>295000</v>
      </c>
      <c r="I44" s="337">
        <f>SUM(I45:I46)</f>
        <v>0</v>
      </c>
      <c r="J44" s="74">
        <f>SUM(J45:J46)</f>
        <v>295000</v>
      </c>
    </row>
    <row r="45" spans="1:10" ht="12.75" customHeight="1">
      <c r="A45" s="189"/>
      <c r="B45" s="75"/>
      <c r="C45" s="76"/>
      <c r="D45" s="63"/>
      <c r="E45" s="63">
        <v>5193</v>
      </c>
      <c r="F45" s="64" t="s">
        <v>74</v>
      </c>
      <c r="G45" s="65">
        <v>295000</v>
      </c>
      <c r="H45" s="65">
        <v>295000</v>
      </c>
      <c r="I45" s="335"/>
      <c r="J45" s="67">
        <f>H45+I45</f>
        <v>295000</v>
      </c>
    </row>
    <row r="46" spans="1:10" ht="12" customHeight="1">
      <c r="A46" s="189"/>
      <c r="B46" s="75"/>
      <c r="C46" s="133" t="s">
        <v>131</v>
      </c>
      <c r="D46" s="63"/>
      <c r="E46" s="63">
        <v>5193</v>
      </c>
      <c r="F46" s="64" t="s">
        <v>132</v>
      </c>
      <c r="G46" s="78">
        <v>0</v>
      </c>
      <c r="H46" s="78">
        <v>0</v>
      </c>
      <c r="I46" s="339"/>
      <c r="J46" s="134">
        <f>H46+I46</f>
        <v>0</v>
      </c>
    </row>
    <row r="47" spans="1:10" s="95" customFormat="1" ht="12.75" customHeight="1">
      <c r="A47" s="189"/>
      <c r="B47" s="70" t="s">
        <v>43</v>
      </c>
      <c r="C47" s="71" t="s">
        <v>75</v>
      </c>
      <c r="D47" s="72">
        <v>2292</v>
      </c>
      <c r="E47" s="72" t="s">
        <v>3</v>
      </c>
      <c r="F47" s="103" t="s">
        <v>76</v>
      </c>
      <c r="G47" s="74">
        <f>SUM(G48)</f>
        <v>9500</v>
      </c>
      <c r="H47" s="74">
        <f>SUM(H48)</f>
        <v>9500</v>
      </c>
      <c r="I47" s="337">
        <f>SUM(I48)</f>
        <v>0</v>
      </c>
      <c r="J47" s="74">
        <f>SUM(J48:J48)</f>
        <v>9500</v>
      </c>
    </row>
    <row r="48" spans="1:10" s="95" customFormat="1" ht="12.75" customHeight="1">
      <c r="A48" s="189"/>
      <c r="B48" s="75"/>
      <c r="C48" s="76"/>
      <c r="D48" s="63"/>
      <c r="E48" s="63">
        <v>5193</v>
      </c>
      <c r="F48" s="64" t="s">
        <v>77</v>
      </c>
      <c r="G48" s="65">
        <v>9500</v>
      </c>
      <c r="H48" s="65">
        <v>9500</v>
      </c>
      <c r="I48" s="335"/>
      <c r="J48" s="67">
        <f>H48+I48</f>
        <v>9500</v>
      </c>
    </row>
    <row r="49" spans="1:10" ht="12.75" customHeight="1">
      <c r="A49" s="189"/>
      <c r="B49" s="70" t="s">
        <v>43</v>
      </c>
      <c r="C49" s="71" t="s">
        <v>78</v>
      </c>
      <c r="D49" s="72">
        <v>2299</v>
      </c>
      <c r="E49" s="72" t="s">
        <v>3</v>
      </c>
      <c r="F49" s="73" t="s">
        <v>79</v>
      </c>
      <c r="G49" s="74">
        <f>SUM(G50:G50)</f>
        <v>10</v>
      </c>
      <c r="H49" s="74">
        <f>SUM(H50:H50)</f>
        <v>10</v>
      </c>
      <c r="I49" s="334">
        <f>SUM(I50:I50)</f>
        <v>0</v>
      </c>
      <c r="J49" s="74">
        <f>SUM(J50:J50)</f>
        <v>10</v>
      </c>
    </row>
    <row r="50" spans="1:10" ht="12.75" customHeight="1">
      <c r="A50" s="189"/>
      <c r="B50" s="104"/>
      <c r="C50" s="105"/>
      <c r="D50" s="86"/>
      <c r="E50" s="86">
        <v>5175</v>
      </c>
      <c r="F50" s="64" t="s">
        <v>61</v>
      </c>
      <c r="G50" s="65">
        <v>10</v>
      </c>
      <c r="H50" s="65">
        <v>10</v>
      </c>
      <c r="I50" s="335"/>
      <c r="J50" s="67">
        <f>H50+I50</f>
        <v>10</v>
      </c>
    </row>
    <row r="51" spans="1:10" ht="12.75" customHeight="1">
      <c r="A51" s="189"/>
      <c r="B51" s="70" t="s">
        <v>43</v>
      </c>
      <c r="C51" s="71" t="s">
        <v>80</v>
      </c>
      <c r="D51" s="72">
        <v>2299</v>
      </c>
      <c r="E51" s="72" t="s">
        <v>3</v>
      </c>
      <c r="F51" s="73" t="s">
        <v>81</v>
      </c>
      <c r="G51" s="74">
        <f>SUM(G52:G56)</f>
        <v>7417.18</v>
      </c>
      <c r="H51" s="74">
        <f>SUM(H52:H56)</f>
        <v>6955.08</v>
      </c>
      <c r="I51" s="334">
        <f>SUM(I52:I56)</f>
        <v>0</v>
      </c>
      <c r="J51" s="74">
        <f>SUM(J52:J56)</f>
        <v>6955.08</v>
      </c>
    </row>
    <row r="52" spans="1:10" s="95" customFormat="1" ht="12.75" customHeight="1">
      <c r="A52" s="189"/>
      <c r="B52" s="104"/>
      <c r="C52" s="105"/>
      <c r="D52" s="86"/>
      <c r="E52" s="62">
        <v>5139</v>
      </c>
      <c r="F52" s="82" t="s">
        <v>46</v>
      </c>
      <c r="G52" s="34">
        <v>200</v>
      </c>
      <c r="H52" s="34">
        <v>200</v>
      </c>
      <c r="I52" s="340"/>
      <c r="J52" s="67">
        <f>H52+I52</f>
        <v>200</v>
      </c>
    </row>
    <row r="53" spans="1:10" s="95" customFormat="1" ht="12.75" customHeight="1">
      <c r="A53" s="189"/>
      <c r="B53" s="104"/>
      <c r="C53" s="105"/>
      <c r="D53" s="86"/>
      <c r="E53" s="86">
        <v>5166</v>
      </c>
      <c r="F53" s="64" t="s">
        <v>47</v>
      </c>
      <c r="G53" s="34">
        <v>100</v>
      </c>
      <c r="H53" s="34">
        <v>100</v>
      </c>
      <c r="I53" s="340"/>
      <c r="J53" s="67">
        <f>H53+I53</f>
        <v>100</v>
      </c>
    </row>
    <row r="54" spans="1:10" s="95" customFormat="1" ht="12.75" customHeight="1">
      <c r="A54" s="189"/>
      <c r="B54" s="104"/>
      <c r="C54" s="105"/>
      <c r="D54" s="86"/>
      <c r="E54" s="86">
        <v>5168</v>
      </c>
      <c r="F54" s="64" t="s">
        <v>48</v>
      </c>
      <c r="G54" s="34">
        <v>1500</v>
      </c>
      <c r="H54" s="34">
        <f>1500+358.9-300</f>
        <v>1558.9</v>
      </c>
      <c r="I54" s="340"/>
      <c r="J54" s="67">
        <f>H54+I54</f>
        <v>1558.9</v>
      </c>
    </row>
    <row r="55" spans="1:10" s="95" customFormat="1" ht="12.75" customHeight="1">
      <c r="A55" s="189"/>
      <c r="B55" s="104"/>
      <c r="C55" s="105"/>
      <c r="D55" s="86"/>
      <c r="E55" s="86">
        <v>5169</v>
      </c>
      <c r="F55" s="64" t="s">
        <v>49</v>
      </c>
      <c r="G55" s="34">
        <v>5607.18</v>
      </c>
      <c r="H55" s="34">
        <f>5607.18-521</f>
        <v>5086.18</v>
      </c>
      <c r="I55" s="340"/>
      <c r="J55" s="67">
        <f>H55+I55</f>
        <v>5086.18</v>
      </c>
    </row>
    <row r="56" spans="1:10" s="95" customFormat="1" ht="12.75" customHeight="1">
      <c r="A56" s="189"/>
      <c r="B56" s="75"/>
      <c r="C56" s="76"/>
      <c r="D56" s="63"/>
      <c r="E56" s="63">
        <v>5175</v>
      </c>
      <c r="F56" s="64" t="s">
        <v>61</v>
      </c>
      <c r="G56" s="34">
        <v>10</v>
      </c>
      <c r="H56" s="34">
        <v>10</v>
      </c>
      <c r="I56" s="338"/>
      <c r="J56" s="67">
        <f>H56+I56</f>
        <v>10</v>
      </c>
    </row>
    <row r="57" spans="1:10" ht="12.75" customHeight="1">
      <c r="A57" s="189"/>
      <c r="B57" s="128" t="s">
        <v>43</v>
      </c>
      <c r="C57" s="98" t="s">
        <v>129</v>
      </c>
      <c r="D57" s="99">
        <v>2299</v>
      </c>
      <c r="E57" s="99" t="s">
        <v>3</v>
      </c>
      <c r="F57" s="129" t="s">
        <v>130</v>
      </c>
      <c r="G57" s="125">
        <f>SUM(G58:G58)</f>
        <v>0</v>
      </c>
      <c r="H57" s="125">
        <f>SUM(H58:H58)</f>
        <v>3000</v>
      </c>
      <c r="I57" s="337">
        <f>SUM(I58:I58)</f>
        <v>0</v>
      </c>
      <c r="J57" s="125">
        <f>SUM(J58:J58)</f>
        <v>3000</v>
      </c>
    </row>
    <row r="58" spans="1:10" ht="12.75" customHeight="1" thickBot="1">
      <c r="A58" s="190"/>
      <c r="B58" s="106"/>
      <c r="C58" s="88"/>
      <c r="D58" s="89"/>
      <c r="E58" s="89">
        <v>5166</v>
      </c>
      <c r="F58" s="90" t="s">
        <v>47</v>
      </c>
      <c r="G58" s="91">
        <v>0</v>
      </c>
      <c r="H58" s="91">
        <v>3000</v>
      </c>
      <c r="I58" s="341"/>
      <c r="J58" s="33">
        <f>H58+I58</f>
        <v>3000</v>
      </c>
    </row>
  </sheetData>
  <sheetProtection/>
  <mergeCells count="13">
    <mergeCell ref="E7:E8"/>
    <mergeCell ref="F7:F8"/>
    <mergeCell ref="G7:G8"/>
    <mergeCell ref="A9:A58"/>
    <mergeCell ref="H7:H8"/>
    <mergeCell ref="I7:J7"/>
    <mergeCell ref="A1:J1"/>
    <mergeCell ref="A3:J3"/>
    <mergeCell ref="A5:J5"/>
    <mergeCell ref="A7:A8"/>
    <mergeCell ref="B7:B8"/>
    <mergeCell ref="C7:C8"/>
    <mergeCell ref="D7:D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95" r:id="rId1"/>
  <headerFooter>
    <oddHeader>&amp;R&amp;F</oddHeader>
    <oddFooter>&amp;C&amp;A</oddFooter>
  </headerFooter>
  <rowBreaks count="2" manualBreakCount="2">
    <brk id="127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60"/>
  <sheetViews>
    <sheetView zoomScalePageLayoutView="0" workbookViewId="0" topLeftCell="A40">
      <selection activeCell="F59" sqref="F59"/>
    </sheetView>
  </sheetViews>
  <sheetFormatPr defaultColWidth="9.140625" defaultRowHeight="12.75"/>
  <cols>
    <col min="1" max="2" width="3.00390625" style="153" customWidth="1"/>
    <col min="3" max="3" width="10.140625" style="153" customWidth="1"/>
    <col min="4" max="4" width="4.28125" style="153" customWidth="1"/>
    <col min="5" max="5" width="5.28125" style="153" customWidth="1"/>
    <col min="6" max="6" width="40.57421875" style="153" customWidth="1"/>
    <col min="7" max="7" width="8.140625" style="153" customWidth="1"/>
    <col min="8" max="8" width="8.7109375" style="153" customWidth="1"/>
    <col min="9" max="9" width="9.00390625" style="153" customWidth="1"/>
    <col min="10" max="10" width="9.421875" style="153" customWidth="1"/>
    <col min="11" max="16384" width="9.140625" style="153" customWidth="1"/>
  </cols>
  <sheetData>
    <row r="1" spans="1:10" s="1" customFormat="1" ht="17.25">
      <c r="A1" s="195" t="s">
        <v>377</v>
      </c>
      <c r="B1" s="195"/>
      <c r="C1" s="195"/>
      <c r="D1" s="195"/>
      <c r="E1" s="195"/>
      <c r="F1" s="195"/>
      <c r="G1" s="195"/>
      <c r="H1" s="195"/>
      <c r="I1" s="195"/>
      <c r="J1" s="195"/>
    </row>
    <row r="2" s="1" customFormat="1" ht="12.75"/>
    <row r="3" spans="1:10" s="143" customFormat="1" ht="17.25">
      <c r="A3" s="215" t="s">
        <v>133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s="150" customFormat="1" ht="12.75">
      <c r="A4" s="144"/>
      <c r="B4" s="145"/>
      <c r="C4" s="146"/>
      <c r="D4" s="145"/>
      <c r="E4" s="145"/>
      <c r="F4" s="147"/>
      <c r="G4" s="148"/>
      <c r="H4" s="148"/>
      <c r="I4" s="148"/>
      <c r="J4" s="149"/>
    </row>
    <row r="5" spans="1:10" s="150" customFormat="1" ht="15.75" customHeight="1">
      <c r="A5" s="197" t="s">
        <v>35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3.5" thickBot="1">
      <c r="A6" s="151"/>
      <c r="B6" s="151"/>
      <c r="C6" s="151"/>
      <c r="D6" s="151"/>
      <c r="E6" s="151"/>
      <c r="F6" s="151"/>
      <c r="G6" s="151"/>
      <c r="H6" s="152"/>
      <c r="J6" s="152" t="s">
        <v>134</v>
      </c>
    </row>
    <row r="7" spans="1:10" ht="12.75" customHeight="1" thickBot="1">
      <c r="A7" s="216" t="s">
        <v>37</v>
      </c>
      <c r="B7" s="218" t="s">
        <v>4</v>
      </c>
      <c r="C7" s="208" t="s">
        <v>6</v>
      </c>
      <c r="D7" s="208" t="s">
        <v>7</v>
      </c>
      <c r="E7" s="208" t="s">
        <v>8</v>
      </c>
      <c r="F7" s="213" t="s">
        <v>135</v>
      </c>
      <c r="G7" s="206" t="s">
        <v>82</v>
      </c>
      <c r="H7" s="191" t="s">
        <v>83</v>
      </c>
      <c r="I7" s="193" t="s">
        <v>379</v>
      </c>
      <c r="J7" s="194"/>
    </row>
    <row r="8" spans="1:10" ht="12.75" customHeight="1" thickBot="1">
      <c r="A8" s="217"/>
      <c r="B8" s="219"/>
      <c r="C8" s="209"/>
      <c r="D8" s="209"/>
      <c r="E8" s="209"/>
      <c r="F8" s="214"/>
      <c r="G8" s="207"/>
      <c r="H8" s="192"/>
      <c r="I8" s="135" t="s">
        <v>22</v>
      </c>
      <c r="J8" s="136" t="s">
        <v>84</v>
      </c>
    </row>
    <row r="9" spans="1:10" s="150" customFormat="1" ht="12.75" customHeight="1" thickBot="1">
      <c r="A9" s="210" t="s">
        <v>33</v>
      </c>
      <c r="B9" s="154" t="s">
        <v>5</v>
      </c>
      <c r="C9" s="155" t="s">
        <v>6</v>
      </c>
      <c r="D9" s="155" t="s">
        <v>7</v>
      </c>
      <c r="E9" s="155" t="s">
        <v>8</v>
      </c>
      <c r="F9" s="156" t="s">
        <v>136</v>
      </c>
      <c r="G9" s="157">
        <f>G10+G12+G14+G16+G18+G20+G22+G24+G26+G28+G30+G32+G34+G36+G38+G40+G42+G44+G46+G48+G50+G52+G54+G57+G59</f>
        <v>11020</v>
      </c>
      <c r="H9" s="157">
        <f>H10+H12+H14+H16+H18+H20+H22+H24+H26+H28+H30+H32+H34+H36+H38+H40+H42+H44+H46+H48+H50+H52+H54+H57+H59</f>
        <v>16156</v>
      </c>
      <c r="I9" s="345">
        <f>I10+I12+I14+I16+I18+I20+I22+I24+I26+I28+I30+I32+I34+I36+I38+I40+I42+I44+I46+I48+I50+I52+I54+I57+I59</f>
        <v>3212.426</v>
      </c>
      <c r="J9" s="157">
        <f>J10+J12+J14+J16+J18+J20+J22+J24+J26+J28+J30+J32+J34+J36+J38+J40+J42+J44+J46+J48+J50+J52+J54+J57+J59</f>
        <v>19368.426</v>
      </c>
    </row>
    <row r="10" spans="1:10" ht="12.75" customHeight="1">
      <c r="A10" s="211"/>
      <c r="B10" s="158" t="s">
        <v>5</v>
      </c>
      <c r="C10" s="159" t="s">
        <v>137</v>
      </c>
      <c r="D10" s="160">
        <v>2299</v>
      </c>
      <c r="E10" s="160" t="s">
        <v>3</v>
      </c>
      <c r="F10" s="161" t="s">
        <v>138</v>
      </c>
      <c r="G10" s="137">
        <f>SUM(G11:G11)</f>
        <v>10600</v>
      </c>
      <c r="H10" s="137">
        <f>SUM(H11:H11)</f>
        <v>10600</v>
      </c>
      <c r="I10" s="241">
        <f>SUM(I11:I11)</f>
        <v>0</v>
      </c>
      <c r="J10" s="137">
        <f>SUM(J11:J11)</f>
        <v>10600</v>
      </c>
    </row>
    <row r="11" spans="1:10" ht="12.75" customHeight="1" thickBot="1">
      <c r="A11" s="211"/>
      <c r="B11" s="162"/>
      <c r="C11" s="163"/>
      <c r="D11" s="164"/>
      <c r="E11" s="165">
        <v>5213</v>
      </c>
      <c r="F11" s="166" t="s">
        <v>139</v>
      </c>
      <c r="G11" s="167">
        <v>10600</v>
      </c>
      <c r="H11" s="167">
        <v>10600</v>
      </c>
      <c r="I11" s="346"/>
      <c r="J11" s="169">
        <f>H11+I11</f>
        <v>10600</v>
      </c>
    </row>
    <row r="12" spans="1:10" ht="12.75">
      <c r="A12" s="211"/>
      <c r="B12" s="170" t="s">
        <v>5</v>
      </c>
      <c r="C12" s="142" t="s">
        <v>140</v>
      </c>
      <c r="D12" s="171">
        <v>2223</v>
      </c>
      <c r="E12" s="171" t="s">
        <v>3</v>
      </c>
      <c r="F12" s="141" t="s">
        <v>141</v>
      </c>
      <c r="G12" s="31">
        <f>SUM(G13:G13)</f>
        <v>10</v>
      </c>
      <c r="H12" s="31">
        <f>SUM(H13:H13)</f>
        <v>10</v>
      </c>
      <c r="I12" s="241">
        <f>SUM(I13:I13)</f>
        <v>0</v>
      </c>
      <c r="J12" s="137">
        <f>SUM(J13:J13)</f>
        <v>10</v>
      </c>
    </row>
    <row r="13" spans="1:10" ht="13.5" thickBot="1">
      <c r="A13" s="211"/>
      <c r="B13" s="172"/>
      <c r="C13" s="173"/>
      <c r="D13" s="174"/>
      <c r="E13" s="174">
        <v>5321</v>
      </c>
      <c r="F13" s="175" t="s">
        <v>142</v>
      </c>
      <c r="G13" s="32">
        <v>10</v>
      </c>
      <c r="H13" s="32">
        <v>10</v>
      </c>
      <c r="I13" s="346"/>
      <c r="J13" s="169">
        <f>H13+I13</f>
        <v>10</v>
      </c>
    </row>
    <row r="14" spans="1:10" ht="12.75">
      <c r="A14" s="211"/>
      <c r="B14" s="170" t="s">
        <v>5</v>
      </c>
      <c r="C14" s="142" t="s">
        <v>143</v>
      </c>
      <c r="D14" s="171">
        <v>2223</v>
      </c>
      <c r="E14" s="171" t="s">
        <v>3</v>
      </c>
      <c r="F14" s="141" t="s">
        <v>144</v>
      </c>
      <c r="G14" s="31">
        <f>SUM(G15:G15)</f>
        <v>25</v>
      </c>
      <c r="H14" s="31">
        <f>SUM(H15:H15)</f>
        <v>25</v>
      </c>
      <c r="I14" s="241">
        <f>SUM(I15:I15)</f>
        <v>0</v>
      </c>
      <c r="J14" s="137">
        <f>SUM(J15:J15)</f>
        <v>25</v>
      </c>
    </row>
    <row r="15" spans="1:10" ht="13.5" thickBot="1">
      <c r="A15" s="211"/>
      <c r="B15" s="172"/>
      <c r="C15" s="173"/>
      <c r="D15" s="174"/>
      <c r="E15" s="174">
        <v>5321</v>
      </c>
      <c r="F15" s="175" t="s">
        <v>142</v>
      </c>
      <c r="G15" s="32">
        <v>25</v>
      </c>
      <c r="H15" s="32">
        <v>25</v>
      </c>
      <c r="I15" s="346"/>
      <c r="J15" s="169">
        <f>H15+I15</f>
        <v>25</v>
      </c>
    </row>
    <row r="16" spans="1:10" ht="12.75">
      <c r="A16" s="211"/>
      <c r="B16" s="170" t="s">
        <v>5</v>
      </c>
      <c r="C16" s="142" t="s">
        <v>145</v>
      </c>
      <c r="D16" s="171">
        <v>2223</v>
      </c>
      <c r="E16" s="171" t="s">
        <v>3</v>
      </c>
      <c r="F16" s="141" t="s">
        <v>146</v>
      </c>
      <c r="G16" s="31">
        <f>SUM(G17:G17)</f>
        <v>10</v>
      </c>
      <c r="H16" s="31">
        <f>SUM(H17:H17)</f>
        <v>10</v>
      </c>
      <c r="I16" s="241">
        <f>SUM(I17:I17)</f>
        <v>0</v>
      </c>
      <c r="J16" s="137">
        <f>SUM(J17:J17)</f>
        <v>10</v>
      </c>
    </row>
    <row r="17" spans="1:10" ht="13.5" thickBot="1">
      <c r="A17" s="211"/>
      <c r="B17" s="172"/>
      <c r="C17" s="173"/>
      <c r="D17" s="174"/>
      <c r="E17" s="174">
        <v>5321</v>
      </c>
      <c r="F17" s="175" t="s">
        <v>142</v>
      </c>
      <c r="G17" s="32">
        <v>10</v>
      </c>
      <c r="H17" s="32">
        <v>10</v>
      </c>
      <c r="I17" s="346"/>
      <c r="J17" s="169">
        <f>H17+I17</f>
        <v>10</v>
      </c>
    </row>
    <row r="18" spans="1:10" ht="12.75">
      <c r="A18" s="211"/>
      <c r="B18" s="170" t="s">
        <v>5</v>
      </c>
      <c r="C18" s="142" t="s">
        <v>147</v>
      </c>
      <c r="D18" s="171">
        <v>2223</v>
      </c>
      <c r="E18" s="171" t="s">
        <v>3</v>
      </c>
      <c r="F18" s="141" t="s">
        <v>148</v>
      </c>
      <c r="G18" s="31">
        <f>SUM(G19:G19)</f>
        <v>10</v>
      </c>
      <c r="H18" s="31">
        <f>SUM(H19:H19)</f>
        <v>10</v>
      </c>
      <c r="I18" s="241">
        <f>SUM(I19:I19)</f>
        <v>0</v>
      </c>
      <c r="J18" s="137">
        <f>SUM(J19:J19)</f>
        <v>10</v>
      </c>
    </row>
    <row r="19" spans="1:10" ht="13.5" thickBot="1">
      <c r="A19" s="211"/>
      <c r="B19" s="172"/>
      <c r="C19" s="173"/>
      <c r="D19" s="174"/>
      <c r="E19" s="174">
        <v>5321</v>
      </c>
      <c r="F19" s="175" t="s">
        <v>142</v>
      </c>
      <c r="G19" s="32">
        <v>10</v>
      </c>
      <c r="H19" s="32">
        <v>10</v>
      </c>
      <c r="I19" s="346"/>
      <c r="J19" s="169">
        <f>H19+I19</f>
        <v>10</v>
      </c>
    </row>
    <row r="20" spans="1:10" ht="12.75">
      <c r="A20" s="211"/>
      <c r="B20" s="170" t="s">
        <v>5</v>
      </c>
      <c r="C20" s="142" t="s">
        <v>149</v>
      </c>
      <c r="D20" s="171">
        <v>2223</v>
      </c>
      <c r="E20" s="171" t="s">
        <v>3</v>
      </c>
      <c r="F20" s="141" t="s">
        <v>150</v>
      </c>
      <c r="G20" s="31">
        <f>SUM(G21:G21)</f>
        <v>80</v>
      </c>
      <c r="H20" s="31">
        <f>SUM(H21:H21)</f>
        <v>80</v>
      </c>
      <c r="I20" s="241">
        <f>SUM(I21:I21)</f>
        <v>0</v>
      </c>
      <c r="J20" s="137">
        <f>SUM(J21:J21)</f>
        <v>80</v>
      </c>
    </row>
    <row r="21" spans="1:10" ht="13.5" thickBot="1">
      <c r="A21" s="211"/>
      <c r="B21" s="172"/>
      <c r="C21" s="173"/>
      <c r="D21" s="174"/>
      <c r="E21" s="174">
        <v>5321</v>
      </c>
      <c r="F21" s="175" t="s">
        <v>142</v>
      </c>
      <c r="G21" s="32">
        <v>80</v>
      </c>
      <c r="H21" s="32">
        <v>80</v>
      </c>
      <c r="I21" s="346"/>
      <c r="J21" s="169">
        <f>H21+I21</f>
        <v>80</v>
      </c>
    </row>
    <row r="22" spans="1:10" ht="12.75">
      <c r="A22" s="211"/>
      <c r="B22" s="170" t="s">
        <v>5</v>
      </c>
      <c r="C22" s="142" t="s">
        <v>151</v>
      </c>
      <c r="D22" s="171">
        <v>2223</v>
      </c>
      <c r="E22" s="171" t="s">
        <v>3</v>
      </c>
      <c r="F22" s="141" t="s">
        <v>152</v>
      </c>
      <c r="G22" s="31">
        <f>SUM(G23:G23)</f>
        <v>84</v>
      </c>
      <c r="H22" s="31">
        <f>SUM(H23:H23)</f>
        <v>84</v>
      </c>
      <c r="I22" s="241">
        <f>SUM(I23:I23)</f>
        <v>0</v>
      </c>
      <c r="J22" s="137">
        <f>SUM(J23:J23)</f>
        <v>84</v>
      </c>
    </row>
    <row r="23" spans="1:10" ht="13.5" thickBot="1">
      <c r="A23" s="211"/>
      <c r="B23" s="172"/>
      <c r="C23" s="173"/>
      <c r="D23" s="174"/>
      <c r="E23" s="174">
        <v>5321</v>
      </c>
      <c r="F23" s="175" t="s">
        <v>142</v>
      </c>
      <c r="G23" s="32">
        <v>84</v>
      </c>
      <c r="H23" s="32">
        <v>84</v>
      </c>
      <c r="I23" s="346"/>
      <c r="J23" s="169">
        <f>H23+I23</f>
        <v>84</v>
      </c>
    </row>
    <row r="24" spans="1:10" ht="12.75">
      <c r="A24" s="211"/>
      <c r="B24" s="170" t="s">
        <v>5</v>
      </c>
      <c r="C24" s="142" t="s">
        <v>153</v>
      </c>
      <c r="D24" s="171">
        <v>2223</v>
      </c>
      <c r="E24" s="171" t="s">
        <v>3</v>
      </c>
      <c r="F24" s="141" t="s">
        <v>154</v>
      </c>
      <c r="G24" s="31">
        <f>SUM(G25:G25)</f>
        <v>30</v>
      </c>
      <c r="H24" s="31">
        <f>SUM(H25:H25)</f>
        <v>30</v>
      </c>
      <c r="I24" s="241">
        <f>SUM(I25:I25)</f>
        <v>0</v>
      </c>
      <c r="J24" s="137">
        <f>SUM(J25:J25)</f>
        <v>30</v>
      </c>
    </row>
    <row r="25" spans="1:10" ht="13.5" thickBot="1">
      <c r="A25" s="211"/>
      <c r="B25" s="172"/>
      <c r="C25" s="173"/>
      <c r="D25" s="174"/>
      <c r="E25" s="174">
        <v>5321</v>
      </c>
      <c r="F25" s="175" t="s">
        <v>142</v>
      </c>
      <c r="G25" s="32">
        <v>30</v>
      </c>
      <c r="H25" s="32">
        <v>30</v>
      </c>
      <c r="I25" s="346"/>
      <c r="J25" s="169">
        <f>H25+I25</f>
        <v>30</v>
      </c>
    </row>
    <row r="26" spans="1:10" ht="12.75">
      <c r="A26" s="211"/>
      <c r="B26" s="170" t="s">
        <v>5</v>
      </c>
      <c r="C26" s="142" t="s">
        <v>155</v>
      </c>
      <c r="D26" s="171">
        <v>2223</v>
      </c>
      <c r="E26" s="171" t="s">
        <v>3</v>
      </c>
      <c r="F26" s="141" t="s">
        <v>156</v>
      </c>
      <c r="G26" s="31">
        <f>SUM(G27:G27)</f>
        <v>51</v>
      </c>
      <c r="H26" s="31">
        <f>SUM(H27:H27)</f>
        <v>51</v>
      </c>
      <c r="I26" s="241">
        <f>SUM(I27:I27)</f>
        <v>0</v>
      </c>
      <c r="J26" s="137">
        <f>SUM(J27:J27)</f>
        <v>51</v>
      </c>
    </row>
    <row r="27" spans="1:10" ht="13.5" thickBot="1">
      <c r="A27" s="211"/>
      <c r="B27" s="172"/>
      <c r="C27" s="173"/>
      <c r="D27" s="174"/>
      <c r="E27" s="174">
        <v>5321</v>
      </c>
      <c r="F27" s="175" t="s">
        <v>142</v>
      </c>
      <c r="G27" s="32">
        <v>51</v>
      </c>
      <c r="H27" s="32">
        <v>51</v>
      </c>
      <c r="I27" s="346"/>
      <c r="J27" s="169">
        <f>H27+I27</f>
        <v>51</v>
      </c>
    </row>
    <row r="28" spans="1:10" ht="12.75">
      <c r="A28" s="211"/>
      <c r="B28" s="170" t="s">
        <v>5</v>
      </c>
      <c r="C28" s="142" t="s">
        <v>157</v>
      </c>
      <c r="D28" s="171">
        <v>2223</v>
      </c>
      <c r="E28" s="171" t="s">
        <v>3</v>
      </c>
      <c r="F28" s="141" t="s">
        <v>158</v>
      </c>
      <c r="G28" s="31">
        <f>SUM(G29:G29)</f>
        <v>120</v>
      </c>
      <c r="H28" s="31">
        <f>SUM(H29:H29)</f>
        <v>120</v>
      </c>
      <c r="I28" s="241">
        <f>SUM(I29:I29)</f>
        <v>0</v>
      </c>
      <c r="J28" s="137">
        <f>SUM(J29:J29)</f>
        <v>120</v>
      </c>
    </row>
    <row r="29" spans="1:10" ht="13.5" thickBot="1">
      <c r="A29" s="211"/>
      <c r="B29" s="172"/>
      <c r="C29" s="173"/>
      <c r="D29" s="174"/>
      <c r="E29" s="174">
        <v>5321</v>
      </c>
      <c r="F29" s="175" t="s">
        <v>142</v>
      </c>
      <c r="G29" s="32">
        <v>120</v>
      </c>
      <c r="H29" s="32">
        <v>120</v>
      </c>
      <c r="I29" s="346"/>
      <c r="J29" s="169">
        <f>H29+I29</f>
        <v>120</v>
      </c>
    </row>
    <row r="30" spans="1:10" ht="12.75">
      <c r="A30" s="211"/>
      <c r="B30" s="170" t="s">
        <v>5</v>
      </c>
      <c r="C30" s="183" t="s">
        <v>181</v>
      </c>
      <c r="D30" s="171">
        <v>2299</v>
      </c>
      <c r="E30" s="171" t="s">
        <v>3</v>
      </c>
      <c r="F30" s="184" t="s">
        <v>182</v>
      </c>
      <c r="G30" s="31">
        <f>SUM(G31:G31)</f>
        <v>0</v>
      </c>
      <c r="H30" s="31">
        <f>SUM(H31:H31)</f>
        <v>0</v>
      </c>
      <c r="I30" s="258">
        <f>SUM(I31:I31)</f>
        <v>0</v>
      </c>
      <c r="J30" s="137">
        <f>SUM(J31:J31)</f>
        <v>0</v>
      </c>
    </row>
    <row r="31" spans="1:10" ht="21" thickBot="1">
      <c r="A31" s="211"/>
      <c r="B31" s="172"/>
      <c r="C31" s="179"/>
      <c r="D31" s="174"/>
      <c r="E31" s="138">
        <v>6313</v>
      </c>
      <c r="F31" s="185" t="s">
        <v>183</v>
      </c>
      <c r="G31" s="32">
        <v>0</v>
      </c>
      <c r="H31" s="32">
        <v>0</v>
      </c>
      <c r="I31" s="347"/>
      <c r="J31" s="169">
        <f>H31+I31</f>
        <v>0</v>
      </c>
    </row>
    <row r="32" spans="1:10" ht="12.75">
      <c r="A32" s="211"/>
      <c r="B32" s="170" t="s">
        <v>5</v>
      </c>
      <c r="C32" s="142" t="s">
        <v>179</v>
      </c>
      <c r="D32" s="171">
        <v>2223</v>
      </c>
      <c r="E32" s="171" t="s">
        <v>3</v>
      </c>
      <c r="F32" s="139" t="s">
        <v>180</v>
      </c>
      <c r="G32" s="31">
        <f>SUM(G33:G33)</f>
        <v>0</v>
      </c>
      <c r="H32" s="137">
        <f>SUM(H33:H33)</f>
        <v>0</v>
      </c>
      <c r="I32" s="241">
        <f>SUM(I33:I33)</f>
        <v>0</v>
      </c>
      <c r="J32" s="137">
        <f>SUM(J33:J33)</f>
        <v>0</v>
      </c>
    </row>
    <row r="33" spans="1:10" ht="13.5" thickBot="1">
      <c r="A33" s="211"/>
      <c r="B33" s="172"/>
      <c r="C33" s="173"/>
      <c r="D33" s="174"/>
      <c r="E33" s="174">
        <v>5221</v>
      </c>
      <c r="F33" s="181" t="s">
        <v>163</v>
      </c>
      <c r="G33" s="32">
        <v>0</v>
      </c>
      <c r="H33" s="180">
        <v>0</v>
      </c>
      <c r="I33" s="348"/>
      <c r="J33" s="169">
        <f>H33+I33</f>
        <v>0</v>
      </c>
    </row>
    <row r="34" spans="1:10" ht="12.75">
      <c r="A34" s="211"/>
      <c r="B34" s="176" t="s">
        <v>5</v>
      </c>
      <c r="C34" s="142" t="s">
        <v>159</v>
      </c>
      <c r="D34" s="171">
        <v>2219</v>
      </c>
      <c r="E34" s="171" t="s">
        <v>3</v>
      </c>
      <c r="F34" s="177" t="s">
        <v>160</v>
      </c>
      <c r="G34" s="31">
        <f>SUM(G35:G35)</f>
        <v>0</v>
      </c>
      <c r="H34" s="137">
        <f>SUM(H35:H35)</f>
        <v>300</v>
      </c>
      <c r="I34" s="241">
        <f>SUM(I35:I35)</f>
        <v>0</v>
      </c>
      <c r="J34" s="137">
        <f>SUM(J35:J35)</f>
        <v>300</v>
      </c>
    </row>
    <row r="35" spans="1:10" ht="13.5" thickBot="1">
      <c r="A35" s="211"/>
      <c r="B35" s="178"/>
      <c r="C35" s="179"/>
      <c r="D35" s="174"/>
      <c r="E35" s="140">
        <v>5321</v>
      </c>
      <c r="F35" s="175" t="s">
        <v>142</v>
      </c>
      <c r="G35" s="32">
        <v>0</v>
      </c>
      <c r="H35" s="168">
        <v>300</v>
      </c>
      <c r="I35" s="346"/>
      <c r="J35" s="169">
        <f>H35+I35</f>
        <v>300</v>
      </c>
    </row>
    <row r="36" spans="1:10" ht="12.75">
      <c r="A36" s="211"/>
      <c r="B36" s="176" t="s">
        <v>5</v>
      </c>
      <c r="C36" s="142" t="s">
        <v>161</v>
      </c>
      <c r="D36" s="171">
        <v>2299</v>
      </c>
      <c r="E36" s="171" t="s">
        <v>3</v>
      </c>
      <c r="F36" s="177" t="s">
        <v>162</v>
      </c>
      <c r="G36" s="31">
        <f>SUM(G37:G37)</f>
        <v>0</v>
      </c>
      <c r="H36" s="137">
        <f>SUM(H37:H37)</f>
        <v>15</v>
      </c>
      <c r="I36" s="241">
        <f>SUM(I37:I37)</f>
        <v>0</v>
      </c>
      <c r="J36" s="137">
        <f>SUM(J37:J37)</f>
        <v>15</v>
      </c>
    </row>
    <row r="37" spans="1:10" ht="13.5" thickBot="1">
      <c r="A37" s="211"/>
      <c r="B37" s="178"/>
      <c r="C37" s="179"/>
      <c r="D37" s="174"/>
      <c r="E37" s="174">
        <v>5221</v>
      </c>
      <c r="F37" s="175" t="s">
        <v>163</v>
      </c>
      <c r="G37" s="32">
        <v>0</v>
      </c>
      <c r="H37" s="168">
        <v>15</v>
      </c>
      <c r="I37" s="346"/>
      <c r="J37" s="169">
        <f>H37+I37</f>
        <v>15</v>
      </c>
    </row>
    <row r="38" spans="1:10" ht="12.75">
      <c r="A38" s="211"/>
      <c r="B38" s="176" t="s">
        <v>5</v>
      </c>
      <c r="C38" s="142" t="s">
        <v>164</v>
      </c>
      <c r="D38" s="171">
        <v>2299</v>
      </c>
      <c r="E38" s="171" t="s">
        <v>3</v>
      </c>
      <c r="F38" s="177" t="s">
        <v>165</v>
      </c>
      <c r="G38" s="31">
        <f>SUM(G39:G39)</f>
        <v>0</v>
      </c>
      <c r="H38" s="137">
        <f>SUM(H39:H39)</f>
        <v>150</v>
      </c>
      <c r="I38" s="241">
        <f>SUM(I39:I39)</f>
        <v>0</v>
      </c>
      <c r="J38" s="137">
        <f>SUM(J39:J39)</f>
        <v>150</v>
      </c>
    </row>
    <row r="39" spans="1:10" ht="13.5" thickBot="1">
      <c r="A39" s="211"/>
      <c r="B39" s="178"/>
      <c r="C39" s="179"/>
      <c r="D39" s="174"/>
      <c r="E39" s="174">
        <v>5221</v>
      </c>
      <c r="F39" s="175" t="s">
        <v>163</v>
      </c>
      <c r="G39" s="32">
        <v>0</v>
      </c>
      <c r="H39" s="180">
        <v>150</v>
      </c>
      <c r="I39" s="348"/>
      <c r="J39" s="169">
        <f>H39+I39</f>
        <v>150</v>
      </c>
    </row>
    <row r="40" spans="1:10" ht="12.75">
      <c r="A40" s="211"/>
      <c r="B40" s="176" t="s">
        <v>5</v>
      </c>
      <c r="C40" s="142" t="s">
        <v>166</v>
      </c>
      <c r="D40" s="171">
        <v>2299</v>
      </c>
      <c r="E40" s="171" t="s">
        <v>3</v>
      </c>
      <c r="F40" s="177" t="s">
        <v>167</v>
      </c>
      <c r="G40" s="31">
        <f>SUM(G41:G41)</f>
        <v>0</v>
      </c>
      <c r="H40" s="137">
        <f>SUM(H41:H41)</f>
        <v>104</v>
      </c>
      <c r="I40" s="241">
        <f>SUM(I41:I41)</f>
        <v>0</v>
      </c>
      <c r="J40" s="137">
        <f>SUM(J41:J41)</f>
        <v>104</v>
      </c>
    </row>
    <row r="41" spans="1:10" ht="13.5" thickBot="1">
      <c r="A41" s="211"/>
      <c r="B41" s="178"/>
      <c r="C41" s="179"/>
      <c r="D41" s="174"/>
      <c r="E41" s="174">
        <v>5222</v>
      </c>
      <c r="F41" s="175" t="s">
        <v>168</v>
      </c>
      <c r="G41" s="32">
        <v>0</v>
      </c>
      <c r="H41" s="180">
        <v>104</v>
      </c>
      <c r="I41" s="348"/>
      <c r="J41" s="169">
        <f>H41+I41</f>
        <v>104</v>
      </c>
    </row>
    <row r="42" spans="1:10" ht="12.75">
      <c r="A42" s="211"/>
      <c r="B42" s="176" t="s">
        <v>5</v>
      </c>
      <c r="C42" s="142" t="s">
        <v>169</v>
      </c>
      <c r="D42" s="171">
        <v>2299</v>
      </c>
      <c r="E42" s="171" t="s">
        <v>3</v>
      </c>
      <c r="F42" s="177" t="s">
        <v>170</v>
      </c>
      <c r="G42" s="31">
        <f>SUM(G43:G43)</f>
        <v>0</v>
      </c>
      <c r="H42" s="137">
        <f>SUM(H43:H43)</f>
        <v>175</v>
      </c>
      <c r="I42" s="241">
        <f>SUM(I43:I43)</f>
        <v>0</v>
      </c>
      <c r="J42" s="137">
        <f>SUM(J43:J43)</f>
        <v>175</v>
      </c>
    </row>
    <row r="43" spans="1:10" ht="13.5" thickBot="1">
      <c r="A43" s="211"/>
      <c r="B43" s="178"/>
      <c r="C43" s="179"/>
      <c r="D43" s="174"/>
      <c r="E43" s="174">
        <v>5213</v>
      </c>
      <c r="F43" s="175" t="s">
        <v>171</v>
      </c>
      <c r="G43" s="32">
        <v>0</v>
      </c>
      <c r="H43" s="180">
        <v>175</v>
      </c>
      <c r="I43" s="348"/>
      <c r="J43" s="169">
        <f>H43+I43</f>
        <v>175</v>
      </c>
    </row>
    <row r="44" spans="1:10" ht="12.75">
      <c r="A44" s="211"/>
      <c r="B44" s="176" t="s">
        <v>5</v>
      </c>
      <c r="C44" s="142" t="s">
        <v>172</v>
      </c>
      <c r="D44" s="171">
        <v>2299</v>
      </c>
      <c r="E44" s="171" t="s">
        <v>3</v>
      </c>
      <c r="F44" s="177" t="s">
        <v>173</v>
      </c>
      <c r="G44" s="31">
        <f>SUM(G45:G45)</f>
        <v>0</v>
      </c>
      <c r="H44" s="137">
        <f>SUM(H45:H45)</f>
        <v>242</v>
      </c>
      <c r="I44" s="241">
        <f>SUM(I45:I45)</f>
        <v>0</v>
      </c>
      <c r="J44" s="137">
        <f>SUM(J45:J45)</f>
        <v>242</v>
      </c>
    </row>
    <row r="45" spans="1:10" ht="13.5" thickBot="1">
      <c r="A45" s="211"/>
      <c r="B45" s="178"/>
      <c r="C45" s="179"/>
      <c r="D45" s="174"/>
      <c r="E45" s="174">
        <v>5213</v>
      </c>
      <c r="F45" s="175" t="s">
        <v>171</v>
      </c>
      <c r="G45" s="32">
        <v>0</v>
      </c>
      <c r="H45" s="180">
        <v>242</v>
      </c>
      <c r="I45" s="348"/>
      <c r="J45" s="169">
        <f>H45+I45</f>
        <v>242</v>
      </c>
    </row>
    <row r="46" spans="1:10" ht="12.75">
      <c r="A46" s="211"/>
      <c r="B46" s="176" t="s">
        <v>5</v>
      </c>
      <c r="C46" s="142" t="s">
        <v>174</v>
      </c>
      <c r="D46" s="171">
        <v>2299</v>
      </c>
      <c r="E46" s="171" t="s">
        <v>3</v>
      </c>
      <c r="F46" s="177" t="s">
        <v>175</v>
      </c>
      <c r="G46" s="31">
        <f>SUM(G47:G47)</f>
        <v>0</v>
      </c>
      <c r="H46" s="137">
        <f>SUM(H47:H47)</f>
        <v>150</v>
      </c>
      <c r="I46" s="241">
        <f>SUM(I47:I47)</f>
        <v>0</v>
      </c>
      <c r="J46" s="137">
        <f>SUM(J47:J47)</f>
        <v>150</v>
      </c>
    </row>
    <row r="47" spans="1:10" ht="13.5" thickBot="1">
      <c r="A47" s="211"/>
      <c r="B47" s="178"/>
      <c r="C47" s="179"/>
      <c r="D47" s="174"/>
      <c r="E47" s="174">
        <v>5222</v>
      </c>
      <c r="F47" s="175" t="s">
        <v>168</v>
      </c>
      <c r="G47" s="32">
        <v>0</v>
      </c>
      <c r="H47" s="180">
        <v>150</v>
      </c>
      <c r="I47" s="348"/>
      <c r="J47" s="169">
        <f>H47+I47</f>
        <v>150</v>
      </c>
    </row>
    <row r="48" spans="1:10" ht="20.25">
      <c r="A48" s="211"/>
      <c r="B48" s="176" t="s">
        <v>5</v>
      </c>
      <c r="C48" s="142" t="s">
        <v>176</v>
      </c>
      <c r="D48" s="171">
        <v>2212</v>
      </c>
      <c r="E48" s="171" t="s">
        <v>3</v>
      </c>
      <c r="F48" s="139" t="s">
        <v>177</v>
      </c>
      <c r="G48" s="31">
        <f>SUM(G49:G49)</f>
        <v>0</v>
      </c>
      <c r="H48" s="31">
        <f>SUM(H49:H49)</f>
        <v>4000</v>
      </c>
      <c r="I48" s="241">
        <f>SUM(I49:I49)</f>
        <v>0</v>
      </c>
      <c r="J48" s="137">
        <f>SUM(J49:J49)</f>
        <v>4000</v>
      </c>
    </row>
    <row r="49" spans="1:10" ht="13.5" thickBot="1">
      <c r="A49" s="211"/>
      <c r="B49" s="178"/>
      <c r="C49" s="173"/>
      <c r="D49" s="174"/>
      <c r="E49" s="174">
        <v>6349</v>
      </c>
      <c r="F49" s="181" t="s">
        <v>178</v>
      </c>
      <c r="G49" s="32">
        <v>0</v>
      </c>
      <c r="H49" s="182">
        <v>4000</v>
      </c>
      <c r="I49" s="348"/>
      <c r="J49" s="169">
        <f>H49+I49</f>
        <v>4000</v>
      </c>
    </row>
    <row r="50" spans="1:10" ht="20.25">
      <c r="A50" s="211"/>
      <c r="B50" s="176" t="s">
        <v>5</v>
      </c>
      <c r="C50" s="142" t="s">
        <v>387</v>
      </c>
      <c r="D50" s="171">
        <v>2219</v>
      </c>
      <c r="E50" s="171" t="s">
        <v>3</v>
      </c>
      <c r="F50" s="139" t="s">
        <v>384</v>
      </c>
      <c r="G50" s="31">
        <f>SUM(G51:G51)</f>
        <v>0</v>
      </c>
      <c r="H50" s="31">
        <f>SUM(H51:H51)</f>
        <v>0</v>
      </c>
      <c r="I50" s="241">
        <f>SUM(I51:I51)</f>
        <v>256.39</v>
      </c>
      <c r="J50" s="137">
        <f>SUM(J51:J51)</f>
        <v>256.39</v>
      </c>
    </row>
    <row r="51" spans="1:10" ht="13.5" thickBot="1">
      <c r="A51" s="211"/>
      <c r="B51" s="178"/>
      <c r="C51" s="173"/>
      <c r="D51" s="174"/>
      <c r="E51" s="140">
        <v>6341</v>
      </c>
      <c r="F51" s="349" t="s">
        <v>385</v>
      </c>
      <c r="G51" s="32">
        <v>0</v>
      </c>
      <c r="H51" s="32">
        <v>0</v>
      </c>
      <c r="I51" s="348">
        <v>256.39</v>
      </c>
      <c r="J51" s="169">
        <f>H51+I51</f>
        <v>256.39</v>
      </c>
    </row>
    <row r="52" spans="1:10" ht="20.25">
      <c r="A52" s="211"/>
      <c r="B52" s="176" t="s">
        <v>5</v>
      </c>
      <c r="C52" s="142" t="s">
        <v>388</v>
      </c>
      <c r="D52" s="171">
        <v>2219</v>
      </c>
      <c r="E52" s="171" t="s">
        <v>3</v>
      </c>
      <c r="F52" s="139" t="s">
        <v>382</v>
      </c>
      <c r="G52" s="31">
        <f>SUM(G53:G53)</f>
        <v>0</v>
      </c>
      <c r="H52" s="31">
        <f>SUM(H53:H53)</f>
        <v>0</v>
      </c>
      <c r="I52" s="241">
        <f>SUM(I53:I53)</f>
        <v>606.036</v>
      </c>
      <c r="J52" s="137">
        <f>SUM(J53:J53)</f>
        <v>606.036</v>
      </c>
    </row>
    <row r="53" spans="1:10" ht="13.5" thickBot="1">
      <c r="A53" s="211"/>
      <c r="B53" s="178"/>
      <c r="C53" s="173"/>
      <c r="D53" s="174"/>
      <c r="E53" s="140">
        <v>6341</v>
      </c>
      <c r="F53" s="349" t="s">
        <v>385</v>
      </c>
      <c r="G53" s="32">
        <v>0</v>
      </c>
      <c r="H53" s="32">
        <v>0</v>
      </c>
      <c r="I53" s="348">
        <v>606.036</v>
      </c>
      <c r="J53" s="169">
        <f>H53+I53</f>
        <v>606.036</v>
      </c>
    </row>
    <row r="54" spans="1:10" ht="20.25">
      <c r="A54" s="211"/>
      <c r="B54" s="176" t="s">
        <v>5</v>
      </c>
      <c r="C54" s="142" t="s">
        <v>389</v>
      </c>
      <c r="D54" s="171">
        <v>2219</v>
      </c>
      <c r="E54" s="171" t="s">
        <v>3</v>
      </c>
      <c r="F54" s="139" t="s">
        <v>381</v>
      </c>
      <c r="G54" s="31">
        <f>SUM(G55:G56)</f>
        <v>0</v>
      </c>
      <c r="H54" s="31">
        <f>SUM(H55:H56)</f>
        <v>0</v>
      </c>
      <c r="I54" s="258">
        <f>SUM(I55:I56)</f>
        <v>1040</v>
      </c>
      <c r="J54" s="31">
        <f>SUM(J55:J56)</f>
        <v>1040</v>
      </c>
    </row>
    <row r="55" spans="1:10" ht="12.75">
      <c r="A55" s="211"/>
      <c r="B55" s="351"/>
      <c r="C55" s="352"/>
      <c r="D55" s="353"/>
      <c r="E55" s="308">
        <v>5321</v>
      </c>
      <c r="F55" s="354" t="s">
        <v>142</v>
      </c>
      <c r="G55" s="34">
        <v>0</v>
      </c>
      <c r="H55" s="355">
        <v>0</v>
      </c>
      <c r="I55" s="356">
        <v>95</v>
      </c>
      <c r="J55" s="357">
        <f>H55+I55</f>
        <v>95</v>
      </c>
    </row>
    <row r="56" spans="1:10" ht="13.5" thickBot="1">
      <c r="A56" s="211"/>
      <c r="B56" s="178"/>
      <c r="C56" s="358"/>
      <c r="D56" s="174"/>
      <c r="E56" s="140">
        <v>6341</v>
      </c>
      <c r="F56" s="350" t="s">
        <v>385</v>
      </c>
      <c r="G56" s="32">
        <v>0</v>
      </c>
      <c r="H56" s="32">
        <v>0</v>
      </c>
      <c r="I56" s="348">
        <v>945</v>
      </c>
      <c r="J56" s="169">
        <f>H56+I56</f>
        <v>945</v>
      </c>
    </row>
    <row r="57" spans="1:10" ht="20.25">
      <c r="A57" s="211"/>
      <c r="B57" s="176" t="s">
        <v>5</v>
      </c>
      <c r="C57" s="142" t="s">
        <v>390</v>
      </c>
      <c r="D57" s="171">
        <v>2219</v>
      </c>
      <c r="E57" s="171" t="s">
        <v>3</v>
      </c>
      <c r="F57" s="139" t="s">
        <v>386</v>
      </c>
      <c r="G57" s="31">
        <f>SUM(G58:G58)</f>
        <v>0</v>
      </c>
      <c r="H57" s="31">
        <f>SUM(H58:H58)</f>
        <v>0</v>
      </c>
      <c r="I57" s="241">
        <f>SUM(I58:I58)</f>
        <v>210</v>
      </c>
      <c r="J57" s="137">
        <f>SUM(J58:J58)</f>
        <v>210</v>
      </c>
    </row>
    <row r="58" spans="1:10" ht="13.5" thickBot="1">
      <c r="A58" s="211"/>
      <c r="B58" s="178"/>
      <c r="C58" s="173"/>
      <c r="D58" s="174"/>
      <c r="E58" s="140">
        <v>6341</v>
      </c>
      <c r="F58" s="350" t="s">
        <v>385</v>
      </c>
      <c r="G58" s="32">
        <v>0</v>
      </c>
      <c r="H58" s="32">
        <v>0</v>
      </c>
      <c r="I58" s="348">
        <v>210</v>
      </c>
      <c r="J58" s="169">
        <f>H58+I58</f>
        <v>210</v>
      </c>
    </row>
    <row r="59" spans="1:10" ht="12.75">
      <c r="A59" s="211"/>
      <c r="B59" s="176" t="s">
        <v>5</v>
      </c>
      <c r="C59" s="142" t="s">
        <v>391</v>
      </c>
      <c r="D59" s="171">
        <v>2219</v>
      </c>
      <c r="E59" s="171" t="s">
        <v>3</v>
      </c>
      <c r="F59" s="139" t="s">
        <v>383</v>
      </c>
      <c r="G59" s="31">
        <f>SUM(G60:G60)</f>
        <v>0</v>
      </c>
      <c r="H59" s="31">
        <f>SUM(H60:H60)</f>
        <v>0</v>
      </c>
      <c r="I59" s="241">
        <f>SUM(I60:I60)</f>
        <v>1100</v>
      </c>
      <c r="J59" s="137">
        <f>SUM(J60:J60)</f>
        <v>1100</v>
      </c>
    </row>
    <row r="60" spans="1:10" ht="13.5" thickBot="1">
      <c r="A60" s="212"/>
      <c r="B60" s="178"/>
      <c r="C60" s="173"/>
      <c r="D60" s="174"/>
      <c r="E60" s="174">
        <v>5321</v>
      </c>
      <c r="F60" s="175" t="s">
        <v>142</v>
      </c>
      <c r="G60" s="32">
        <v>0</v>
      </c>
      <c r="H60" s="32">
        <v>0</v>
      </c>
      <c r="I60" s="348">
        <v>1100</v>
      </c>
      <c r="J60" s="169">
        <f>H60+I60</f>
        <v>1100</v>
      </c>
    </row>
  </sheetData>
  <sheetProtection/>
  <mergeCells count="13">
    <mergeCell ref="H7:H8"/>
    <mergeCell ref="I7:J7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  <mergeCell ref="A9:A60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portrait" paperSize="9" scale="89" r:id="rId1"/>
  <headerFooter alignWithMargins="0"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4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10.00390625" style="1" bestFit="1" customWidth="1"/>
    <col min="4" max="4" width="5.57421875" style="1" customWidth="1"/>
    <col min="5" max="5" width="5.7109375" style="1" customWidth="1"/>
    <col min="6" max="6" width="41.28125" style="1" customWidth="1"/>
    <col min="7" max="7" width="8.421875" style="1" customWidth="1"/>
    <col min="8" max="8" width="12.8515625" style="1" customWidth="1"/>
    <col min="9" max="9" width="9.7109375" style="1" customWidth="1"/>
    <col min="10" max="11" width="9.140625" style="1" customWidth="1"/>
    <col min="12" max="12" width="9.7109375" style="1" bestFit="1" customWidth="1"/>
    <col min="13" max="16384" width="9.140625" style="1" customWidth="1"/>
  </cols>
  <sheetData>
    <row r="1" spans="1:10" ht="17.25">
      <c r="A1" s="195" t="s">
        <v>377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1:10" ht="15">
      <c r="A3" s="196" t="s">
        <v>184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2.75">
      <c r="A4" s="41"/>
      <c r="B4" s="41"/>
      <c r="C4" s="41"/>
      <c r="D4" s="41"/>
      <c r="E4" s="41"/>
      <c r="F4" s="41"/>
      <c r="G4" s="41"/>
      <c r="H4" s="41"/>
      <c r="I4" s="41"/>
      <c r="J4" s="42"/>
    </row>
    <row r="5" spans="1:10" ht="15">
      <c r="A5" s="197" t="s">
        <v>35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3.5" thickBot="1">
      <c r="A6" s="43"/>
      <c r="B6" s="43"/>
      <c r="C6" s="43"/>
      <c r="D6" s="43"/>
      <c r="E6" s="43"/>
      <c r="F6" s="43"/>
      <c r="G6" s="43"/>
      <c r="H6" s="43"/>
      <c r="I6" s="43"/>
      <c r="J6" s="44" t="s">
        <v>39</v>
      </c>
    </row>
    <row r="7" spans="1:10" ht="12.75" customHeight="1" thickBot="1">
      <c r="A7" s="220" t="s">
        <v>185</v>
      </c>
      <c r="B7" s="220" t="s">
        <v>4</v>
      </c>
      <c r="C7" s="221" t="s">
        <v>6</v>
      </c>
      <c r="D7" s="221" t="s">
        <v>7</v>
      </c>
      <c r="E7" s="221" t="s">
        <v>8</v>
      </c>
      <c r="F7" s="222" t="s">
        <v>186</v>
      </c>
      <c r="G7" s="223" t="s">
        <v>82</v>
      </c>
      <c r="H7" s="213" t="s">
        <v>83</v>
      </c>
      <c r="I7" s="193" t="s">
        <v>378</v>
      </c>
      <c r="J7" s="194"/>
    </row>
    <row r="8" spans="1:10" ht="12.75" customHeight="1" thickBot="1">
      <c r="A8" s="224"/>
      <c r="B8" s="225"/>
      <c r="C8" s="226"/>
      <c r="D8" s="226"/>
      <c r="E8" s="226"/>
      <c r="F8" s="227"/>
      <c r="G8" s="228"/>
      <c r="H8" s="214"/>
      <c r="I8" s="135" t="s">
        <v>22</v>
      </c>
      <c r="J8" s="136" t="s">
        <v>84</v>
      </c>
    </row>
    <row r="9" spans="1:11" ht="12.75" customHeight="1" thickBot="1">
      <c r="A9" s="229">
        <v>920</v>
      </c>
      <c r="B9" s="230" t="s">
        <v>5</v>
      </c>
      <c r="C9" s="231" t="s">
        <v>6</v>
      </c>
      <c r="D9" s="232" t="s">
        <v>7</v>
      </c>
      <c r="E9" s="232" t="s">
        <v>8</v>
      </c>
      <c r="F9" s="233" t="s">
        <v>187</v>
      </c>
      <c r="G9" s="234">
        <f>G10+G12+G14+G16+G18+G20+G22+G24+G26+G35+G107</f>
        <v>100629</v>
      </c>
      <c r="H9" s="234">
        <f>H10+H12+H14+H16+H18+H20+H22+H24+H26+H35+H107</f>
        <v>490524.0509999999</v>
      </c>
      <c r="I9" s="234">
        <f>I10+I12+I14+I16+I18+I20+I22+I24+I26+I35+I107</f>
        <v>-4047.42</v>
      </c>
      <c r="J9" s="234">
        <f>J10+J12+J14+J16+J18+J20+J22+J24+J26+J35+J107</f>
        <v>486476.63099999994</v>
      </c>
      <c r="K9" s="235"/>
    </row>
    <row r="10" spans="1:10" ht="12.75" customHeight="1">
      <c r="A10" s="188" t="s">
        <v>33</v>
      </c>
      <c r="B10" s="236" t="s">
        <v>5</v>
      </c>
      <c r="C10" s="237" t="s">
        <v>188</v>
      </c>
      <c r="D10" s="238" t="s">
        <v>3</v>
      </c>
      <c r="E10" s="238" t="s">
        <v>3</v>
      </c>
      <c r="F10" s="239" t="s">
        <v>189</v>
      </c>
      <c r="G10" s="137">
        <f>SUM(G11:G11)</f>
        <v>3000</v>
      </c>
      <c r="H10" s="240">
        <f>SUM(H11:H11)</f>
        <v>3000</v>
      </c>
      <c r="I10" s="137">
        <f>SUM(I11:I11)</f>
        <v>0</v>
      </c>
      <c r="J10" s="137">
        <f>SUM(J11:J11)</f>
        <v>3000</v>
      </c>
    </row>
    <row r="11" spans="1:10" ht="12.75" customHeight="1" thickBot="1">
      <c r="A11" s="189"/>
      <c r="B11" s="242"/>
      <c r="C11" s="243"/>
      <c r="D11" s="244">
        <v>2212</v>
      </c>
      <c r="E11" s="244">
        <v>6130</v>
      </c>
      <c r="F11" s="245" t="s">
        <v>190</v>
      </c>
      <c r="G11" s="91">
        <v>3000</v>
      </c>
      <c r="H11" s="246">
        <v>3000</v>
      </c>
      <c r="I11" s="91"/>
      <c r="J11" s="91">
        <f>H11+I11</f>
        <v>3000</v>
      </c>
    </row>
    <row r="12" spans="1:11" ht="14.25" customHeight="1">
      <c r="A12" s="189"/>
      <c r="B12" s="248" t="s">
        <v>5</v>
      </c>
      <c r="C12" s="249" t="s">
        <v>191</v>
      </c>
      <c r="D12" s="250" t="s">
        <v>3</v>
      </c>
      <c r="E12" s="250" t="s">
        <v>3</v>
      </c>
      <c r="F12" s="251" t="s">
        <v>192</v>
      </c>
      <c r="G12" s="240">
        <f>SUM(G13:G13)</f>
        <v>1000</v>
      </c>
      <c r="H12" s="240">
        <f>SUM(H13:H13)</f>
        <v>0</v>
      </c>
      <c r="I12" s="137">
        <f>SUM(I13:I13)</f>
        <v>0</v>
      </c>
      <c r="J12" s="137">
        <f>J13</f>
        <v>0</v>
      </c>
      <c r="K12" s="252"/>
    </row>
    <row r="13" spans="1:10" ht="14.25" customHeight="1" thickBot="1">
      <c r="A13" s="189"/>
      <c r="B13" s="253"/>
      <c r="C13" s="254"/>
      <c r="D13" s="138">
        <v>2212</v>
      </c>
      <c r="E13" s="255">
        <v>5331</v>
      </c>
      <c r="F13" s="127" t="s">
        <v>193</v>
      </c>
      <c r="G13" s="91">
        <v>1000</v>
      </c>
      <c r="H13" s="246">
        <f>1000-1000</f>
        <v>0</v>
      </c>
      <c r="I13" s="91"/>
      <c r="J13" s="91">
        <f>H13+I13</f>
        <v>0</v>
      </c>
    </row>
    <row r="14" spans="1:10" ht="12" customHeight="1">
      <c r="A14" s="189"/>
      <c r="B14" s="248" t="s">
        <v>5</v>
      </c>
      <c r="C14" s="256" t="s">
        <v>194</v>
      </c>
      <c r="D14" s="257" t="s">
        <v>3</v>
      </c>
      <c r="E14" s="257" t="s">
        <v>3</v>
      </c>
      <c r="F14" s="139" t="s">
        <v>195</v>
      </c>
      <c r="G14" s="240">
        <f>SUM(G15:G15)</f>
        <v>15566</v>
      </c>
      <c r="H14" s="240">
        <f>SUM(H15:H15)</f>
        <v>0</v>
      </c>
      <c r="I14" s="31">
        <f>SUM(I15:I15)</f>
        <v>0</v>
      </c>
      <c r="J14" s="31">
        <f>SUM(J15:J15)</f>
        <v>0</v>
      </c>
    </row>
    <row r="15" spans="1:10" ht="12" customHeight="1" thickBot="1">
      <c r="A15" s="189"/>
      <c r="B15" s="259"/>
      <c r="C15" s="260"/>
      <c r="D15" s="261">
        <v>2212</v>
      </c>
      <c r="E15" s="261">
        <v>5901</v>
      </c>
      <c r="F15" s="262" t="s">
        <v>196</v>
      </c>
      <c r="G15" s="91">
        <v>15566</v>
      </c>
      <c r="H15" s="91">
        <f>15566+116897-267.579-8578.993-29366.02+13200-565.404-1131.655-4000-51658.577-18083.359-32011.413</f>
        <v>0</v>
      </c>
      <c r="I15" s="91"/>
      <c r="J15" s="65">
        <f>H15+I15</f>
        <v>0</v>
      </c>
    </row>
    <row r="16" spans="1:10" ht="20.25">
      <c r="A16" s="189"/>
      <c r="B16" s="263" t="s">
        <v>5</v>
      </c>
      <c r="C16" s="249" t="s">
        <v>197</v>
      </c>
      <c r="D16" s="264" t="s">
        <v>3</v>
      </c>
      <c r="E16" s="264" t="s">
        <v>3</v>
      </c>
      <c r="F16" s="251" t="s">
        <v>198</v>
      </c>
      <c r="G16" s="31">
        <f>SUM(G17:G17)</f>
        <v>0</v>
      </c>
      <c r="H16" s="31">
        <f>SUM(H17:H17)</f>
        <v>118.58</v>
      </c>
      <c r="I16" s="31">
        <f>SUM(I17:I17)</f>
        <v>0</v>
      </c>
      <c r="J16" s="31">
        <f>SUM(J17:J17)</f>
        <v>118.58</v>
      </c>
    </row>
    <row r="17" spans="1:10" ht="12" customHeight="1" thickBot="1">
      <c r="A17" s="189"/>
      <c r="B17" s="265"/>
      <c r="C17" s="266"/>
      <c r="D17" s="267">
        <v>2212</v>
      </c>
      <c r="E17" s="267">
        <v>6121</v>
      </c>
      <c r="F17" s="268" t="s">
        <v>199</v>
      </c>
      <c r="G17" s="32">
        <v>0</v>
      </c>
      <c r="H17" s="91">
        <v>118.58</v>
      </c>
      <c r="I17" s="91"/>
      <c r="J17" s="65">
        <f>H17+I17</f>
        <v>118.58</v>
      </c>
    </row>
    <row r="18" spans="1:10" ht="12" customHeight="1">
      <c r="A18" s="189"/>
      <c r="B18" s="263" t="s">
        <v>5</v>
      </c>
      <c r="C18" s="249" t="s">
        <v>200</v>
      </c>
      <c r="D18" s="264" t="s">
        <v>3</v>
      </c>
      <c r="E18" s="264" t="s">
        <v>3</v>
      </c>
      <c r="F18" s="139" t="s">
        <v>201</v>
      </c>
      <c r="G18" s="269">
        <f>SUM(G19:G19)</f>
        <v>0</v>
      </c>
      <c r="H18" s="31">
        <f>SUM(H19:H19)</f>
        <v>5000</v>
      </c>
      <c r="I18" s="31">
        <f>SUM(I19:I19)</f>
        <v>-5000</v>
      </c>
      <c r="J18" s="31">
        <f>SUM(J19:J19)</f>
        <v>0</v>
      </c>
    </row>
    <row r="19" spans="1:10" ht="12" customHeight="1" thickBot="1">
      <c r="A19" s="189"/>
      <c r="B19" s="265"/>
      <c r="C19" s="266"/>
      <c r="D19" s="270">
        <v>2219</v>
      </c>
      <c r="E19" s="271">
        <v>5901</v>
      </c>
      <c r="F19" s="272" t="s">
        <v>196</v>
      </c>
      <c r="G19" s="273">
        <v>0</v>
      </c>
      <c r="H19" s="273">
        <v>5000</v>
      </c>
      <c r="I19" s="91">
        <v>-5000</v>
      </c>
      <c r="J19" s="65">
        <f>H19+I19</f>
        <v>0</v>
      </c>
    </row>
    <row r="20" spans="1:10" ht="12" customHeight="1">
      <c r="A20" s="189"/>
      <c r="B20" s="263" t="s">
        <v>5</v>
      </c>
      <c r="C20" s="249" t="s">
        <v>202</v>
      </c>
      <c r="D20" s="264" t="s">
        <v>3</v>
      </c>
      <c r="E20" s="264" t="s">
        <v>3</v>
      </c>
      <c r="F20" s="139" t="s">
        <v>203</v>
      </c>
      <c r="G20" s="269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</row>
    <row r="21" spans="1:10" ht="12" customHeight="1" thickBot="1">
      <c r="A21" s="189"/>
      <c r="B21" s="274"/>
      <c r="C21" s="275"/>
      <c r="D21" s="270">
        <v>2212</v>
      </c>
      <c r="E21" s="140">
        <v>6901</v>
      </c>
      <c r="F21" s="262" t="s">
        <v>204</v>
      </c>
      <c r="G21" s="32">
        <v>0</v>
      </c>
      <c r="H21" s="32">
        <f>30000-1556.588-3114.877-25328.535</f>
        <v>0</v>
      </c>
      <c r="I21" s="33"/>
      <c r="J21" s="65">
        <f>H21+I21</f>
        <v>0</v>
      </c>
    </row>
    <row r="22" spans="1:10" ht="12" customHeight="1">
      <c r="A22" s="189"/>
      <c r="B22" s="263" t="s">
        <v>5</v>
      </c>
      <c r="C22" s="249" t="s">
        <v>392</v>
      </c>
      <c r="D22" s="264" t="s">
        <v>3</v>
      </c>
      <c r="E22" s="264" t="s">
        <v>3</v>
      </c>
      <c r="F22" s="139" t="s">
        <v>395</v>
      </c>
      <c r="G22" s="269">
        <f>SUM(G23:G23)</f>
        <v>0</v>
      </c>
      <c r="H22" s="31">
        <f>SUM(H23:H23)</f>
        <v>0</v>
      </c>
      <c r="I22" s="31">
        <f>SUM(I23:I23)</f>
        <v>229</v>
      </c>
      <c r="J22" s="31">
        <f>SUM(J23:J23)</f>
        <v>229</v>
      </c>
    </row>
    <row r="23" spans="1:10" ht="12" customHeight="1" thickBot="1">
      <c r="A23" s="189"/>
      <c r="B23" s="265"/>
      <c r="C23" s="266"/>
      <c r="D23" s="270">
        <v>2219</v>
      </c>
      <c r="E23" s="138">
        <v>6121</v>
      </c>
      <c r="F23" s="300" t="s">
        <v>210</v>
      </c>
      <c r="G23" s="273">
        <v>0</v>
      </c>
      <c r="H23" s="273">
        <v>0</v>
      </c>
      <c r="I23" s="91">
        <v>229</v>
      </c>
      <c r="J23" s="65">
        <f>H23+I23</f>
        <v>229</v>
      </c>
    </row>
    <row r="24" spans="1:10" ht="20.25">
      <c r="A24" s="189"/>
      <c r="B24" s="263" t="s">
        <v>5</v>
      </c>
      <c r="C24" s="249" t="s">
        <v>393</v>
      </c>
      <c r="D24" s="264" t="s">
        <v>3</v>
      </c>
      <c r="E24" s="264" t="s">
        <v>3</v>
      </c>
      <c r="F24" s="139" t="s">
        <v>394</v>
      </c>
      <c r="G24" s="269">
        <f>SUM(G25:G25)</f>
        <v>0</v>
      </c>
      <c r="H24" s="31">
        <f>SUM(H25:H25)</f>
        <v>0</v>
      </c>
      <c r="I24" s="31">
        <f>SUM(I25:I25)</f>
        <v>723.58</v>
      </c>
      <c r="J24" s="31">
        <f>SUM(J25:J25)</f>
        <v>723.58</v>
      </c>
    </row>
    <row r="25" spans="1:10" ht="12" customHeight="1" thickBot="1">
      <c r="A25" s="189"/>
      <c r="B25" s="265"/>
      <c r="C25" s="266"/>
      <c r="D25" s="270">
        <v>2219</v>
      </c>
      <c r="E25" s="138">
        <v>6121</v>
      </c>
      <c r="F25" s="300" t="s">
        <v>210</v>
      </c>
      <c r="G25" s="273">
        <v>0</v>
      </c>
      <c r="H25" s="273">
        <v>0</v>
      </c>
      <c r="I25" s="91">
        <v>723.58</v>
      </c>
      <c r="J25" s="65">
        <f>H25+I25</f>
        <v>723.58</v>
      </c>
    </row>
    <row r="26" spans="1:12" ht="13.5" thickBot="1">
      <c r="A26" s="189"/>
      <c r="B26" s="277" t="s">
        <v>5</v>
      </c>
      <c r="C26" s="278" t="s">
        <v>3</v>
      </c>
      <c r="D26" s="279" t="s">
        <v>3</v>
      </c>
      <c r="E26" s="279" t="s">
        <v>3</v>
      </c>
      <c r="F26" s="280" t="s">
        <v>205</v>
      </c>
      <c r="G26" s="281">
        <f>G27+G29+G31+G33</f>
        <v>0</v>
      </c>
      <c r="H26" s="281">
        <f>H27+H29+H31+H33</f>
        <v>592.233</v>
      </c>
      <c r="I26" s="281">
        <f>I27+I29+I31+I33</f>
        <v>0</v>
      </c>
      <c r="J26" s="281">
        <f>J27+J29+J31+J33</f>
        <v>592.233</v>
      </c>
      <c r="L26" s="282"/>
    </row>
    <row r="27" spans="1:10" ht="12.75" customHeight="1" hidden="1">
      <c r="A27" s="189"/>
      <c r="B27" s="263" t="s">
        <v>5</v>
      </c>
      <c r="C27" s="249" t="s">
        <v>206</v>
      </c>
      <c r="D27" s="264" t="s">
        <v>3</v>
      </c>
      <c r="E27" s="264" t="s">
        <v>3</v>
      </c>
      <c r="F27" s="141" t="s">
        <v>207</v>
      </c>
      <c r="G27" s="31">
        <f>SUM(G28:G28)</f>
        <v>0</v>
      </c>
      <c r="H27" s="31">
        <f>SUM(H28:H28)</f>
        <v>505.78</v>
      </c>
      <c r="I27" s="31">
        <f>SUM(I28:I28)</f>
        <v>0</v>
      </c>
      <c r="J27" s="31">
        <f>SUM(J28:J28)</f>
        <v>505.78</v>
      </c>
    </row>
    <row r="28" spans="1:10" ht="12.75" customHeight="1" hidden="1" thickBot="1">
      <c r="A28" s="189"/>
      <c r="B28" s="283"/>
      <c r="C28" s="284"/>
      <c r="D28" s="285">
        <v>2212</v>
      </c>
      <c r="E28" s="285">
        <v>5169</v>
      </c>
      <c r="F28" s="286" t="s">
        <v>49</v>
      </c>
      <c r="G28" s="32">
        <v>0</v>
      </c>
      <c r="H28" s="91">
        <v>505.78</v>
      </c>
      <c r="I28" s="91"/>
      <c r="J28" s="91">
        <f>H28+I28</f>
        <v>505.78</v>
      </c>
    </row>
    <row r="29" spans="1:10" ht="12.75" customHeight="1" hidden="1">
      <c r="A29" s="189"/>
      <c r="B29" s="263" t="s">
        <v>5</v>
      </c>
      <c r="C29" s="249" t="s">
        <v>208</v>
      </c>
      <c r="D29" s="257" t="s">
        <v>3</v>
      </c>
      <c r="E29" s="257" t="s">
        <v>3</v>
      </c>
      <c r="F29" s="287" t="s">
        <v>209</v>
      </c>
      <c r="G29" s="137">
        <f>SUM(G30:G30)</f>
        <v>0</v>
      </c>
      <c r="H29" s="137">
        <f>SUM(H30:H30)</f>
        <v>18.15</v>
      </c>
      <c r="I29" s="31">
        <f>SUM(I30:I30)</f>
        <v>0</v>
      </c>
      <c r="J29" s="137">
        <f>SUM(J30:J30)</f>
        <v>18.15</v>
      </c>
    </row>
    <row r="30" spans="1:10" ht="12.75" customHeight="1" hidden="1" thickBot="1">
      <c r="A30" s="189"/>
      <c r="B30" s="259"/>
      <c r="C30" s="260"/>
      <c r="D30" s="267">
        <v>2212</v>
      </c>
      <c r="E30" s="261">
        <v>6121</v>
      </c>
      <c r="F30" s="288" t="s">
        <v>210</v>
      </c>
      <c r="G30" s="65">
        <v>0</v>
      </c>
      <c r="H30" s="65">
        <v>18.15</v>
      </c>
      <c r="I30" s="91"/>
      <c r="J30" s="65">
        <f>H30+I30</f>
        <v>18.15</v>
      </c>
    </row>
    <row r="31" spans="1:10" ht="12.75" customHeight="1" hidden="1">
      <c r="A31" s="189"/>
      <c r="B31" s="263" t="s">
        <v>5</v>
      </c>
      <c r="C31" s="249" t="s">
        <v>211</v>
      </c>
      <c r="D31" s="264" t="s">
        <v>3</v>
      </c>
      <c r="E31" s="264" t="s">
        <v>3</v>
      </c>
      <c r="F31" s="141" t="s">
        <v>212</v>
      </c>
      <c r="G31" s="137">
        <f>SUM(G32:G32)</f>
        <v>0</v>
      </c>
      <c r="H31" s="137">
        <f>SUM(H32:H32)</f>
        <v>38.115</v>
      </c>
      <c r="I31" s="31">
        <f>SUM(I32:I32)</f>
        <v>0</v>
      </c>
      <c r="J31" s="137">
        <f>SUM(J32:J32)</f>
        <v>38.115</v>
      </c>
    </row>
    <row r="32" spans="1:10" ht="12.75" customHeight="1" hidden="1" thickBot="1">
      <c r="A32" s="189"/>
      <c r="B32" s="265"/>
      <c r="C32" s="260"/>
      <c r="D32" s="267">
        <v>2212</v>
      </c>
      <c r="E32" s="261">
        <v>6121</v>
      </c>
      <c r="F32" s="288" t="s">
        <v>210</v>
      </c>
      <c r="G32" s="34">
        <v>0</v>
      </c>
      <c r="H32" s="65">
        <v>38.115</v>
      </c>
      <c r="I32" s="91"/>
      <c r="J32" s="65">
        <f>H32+I32</f>
        <v>38.115</v>
      </c>
    </row>
    <row r="33" spans="1:10" ht="12.75" customHeight="1" hidden="1">
      <c r="A33" s="189"/>
      <c r="B33" s="263" t="s">
        <v>5</v>
      </c>
      <c r="C33" s="249" t="s">
        <v>213</v>
      </c>
      <c r="D33" s="264" t="s">
        <v>3</v>
      </c>
      <c r="E33" s="264" t="s">
        <v>3</v>
      </c>
      <c r="F33" s="141" t="s">
        <v>214</v>
      </c>
      <c r="G33" s="137">
        <f>SUM(G34:G34)</f>
        <v>0</v>
      </c>
      <c r="H33" s="137">
        <f>SUM(H34:H34)</f>
        <v>30.188</v>
      </c>
      <c r="I33" s="31">
        <f>SUM(I34:I34)</f>
        <v>0</v>
      </c>
      <c r="J33" s="137">
        <f>SUM(J34:J34)</f>
        <v>30.188</v>
      </c>
    </row>
    <row r="34" spans="1:11" ht="12.75" customHeight="1" hidden="1" thickBot="1">
      <c r="A34" s="189"/>
      <c r="B34" s="265"/>
      <c r="C34" s="266"/>
      <c r="D34" s="267">
        <v>2212</v>
      </c>
      <c r="E34" s="267">
        <v>6121</v>
      </c>
      <c r="F34" s="288" t="s">
        <v>210</v>
      </c>
      <c r="G34" s="34">
        <v>0</v>
      </c>
      <c r="H34" s="65">
        <v>30.188</v>
      </c>
      <c r="I34" s="91"/>
      <c r="J34" s="65">
        <f>H34+I34</f>
        <v>30.188</v>
      </c>
      <c r="K34" s="282"/>
    </row>
    <row r="35" spans="1:12" ht="13.5" thickBot="1">
      <c r="A35" s="189"/>
      <c r="B35" s="277" t="s">
        <v>5</v>
      </c>
      <c r="C35" s="278" t="s">
        <v>3</v>
      </c>
      <c r="D35" s="279" t="s">
        <v>3</v>
      </c>
      <c r="E35" s="279" t="s">
        <v>3</v>
      </c>
      <c r="F35" s="280" t="s">
        <v>215</v>
      </c>
      <c r="G35" s="281">
        <f>G36+G39+G41+G43+G45+G47+G49+G51+G53+G55+G57+G59+G61+G63+G65+G67+G69+G71+G73+G75+G78+G80+G82+G84+G86+G89+G91+G93+G96+G98+G100+G102+G105</f>
        <v>0</v>
      </c>
      <c r="H35" s="281">
        <f>H36+H39+H41+H43+H45+H47+H49+H51+H53+H55+H57+H59+H61+H63+H65+H67+H69+H71+H73+H75+H78+H80+H82+H84+H86+H89+H91+H93+H96+H98+H100+H102+H105</f>
        <v>87231.52300000002</v>
      </c>
      <c r="I35" s="281">
        <f>I36+I39+I41+I43+I45+I47+I49+I51+I53+I55+I57+I59+I61+I63+I65+I67+I69+I71+I73+I75+I78+I80+I82+I84+I86+I89+I91+I93+I96+I98+I100+I102+I105</f>
        <v>0</v>
      </c>
      <c r="J35" s="281">
        <f>J36+J39+J41+J43+J45+J47+J49+J51+J53+J55+J57+J59+J61+J63+J65+J67+J69+J71+J73+J75+J78+J80+J82+J84+J86+J89+J91+J93+J96+J98+J100+J102+J105</f>
        <v>87231.52300000002</v>
      </c>
      <c r="L35" s="282"/>
    </row>
    <row r="36" spans="1:10" ht="12.75" hidden="1">
      <c r="A36" s="189"/>
      <c r="B36" s="263" t="s">
        <v>5</v>
      </c>
      <c r="C36" s="249" t="s">
        <v>216</v>
      </c>
      <c r="D36" s="264" t="s">
        <v>3</v>
      </c>
      <c r="E36" s="264" t="s">
        <v>3</v>
      </c>
      <c r="F36" s="141" t="s">
        <v>217</v>
      </c>
      <c r="G36" s="31">
        <f>SUM(G37:G38)</f>
        <v>0</v>
      </c>
      <c r="H36" s="31">
        <f>SUM(H37:H38)</f>
        <v>17658.558</v>
      </c>
      <c r="I36" s="31">
        <f>SUM(I37:I38)</f>
        <v>0</v>
      </c>
      <c r="J36" s="31">
        <f>SUM(J37:J38)</f>
        <v>17658.558</v>
      </c>
    </row>
    <row r="37" spans="1:10" ht="12.75" hidden="1">
      <c r="A37" s="189"/>
      <c r="B37" s="265"/>
      <c r="C37" s="266"/>
      <c r="D37" s="267">
        <v>2212</v>
      </c>
      <c r="E37" s="267">
        <v>5169</v>
      </c>
      <c r="F37" s="289" t="s">
        <v>49</v>
      </c>
      <c r="G37" s="34">
        <v>0</v>
      </c>
      <c r="H37" s="34">
        <v>48.4</v>
      </c>
      <c r="I37" s="65"/>
      <c r="J37" s="65">
        <f>H37+I37</f>
        <v>48.4</v>
      </c>
    </row>
    <row r="38" spans="1:10" ht="13.5" hidden="1" thickBot="1">
      <c r="A38" s="189"/>
      <c r="B38" s="274"/>
      <c r="C38" s="291"/>
      <c r="D38" s="138">
        <v>2212</v>
      </c>
      <c r="E38" s="140">
        <v>5171</v>
      </c>
      <c r="F38" s="292" t="s">
        <v>218</v>
      </c>
      <c r="G38" s="32">
        <v>0</v>
      </c>
      <c r="H38" s="33">
        <v>17610.158</v>
      </c>
      <c r="I38" s="33"/>
      <c r="J38" s="33">
        <f>H38+I38</f>
        <v>17610.158</v>
      </c>
    </row>
    <row r="39" spans="1:10" ht="12.75" customHeight="1" hidden="1">
      <c r="A39" s="189"/>
      <c r="B39" s="263" t="s">
        <v>5</v>
      </c>
      <c r="C39" s="249" t="s">
        <v>219</v>
      </c>
      <c r="D39" s="264" t="s">
        <v>3</v>
      </c>
      <c r="E39" s="264" t="s">
        <v>3</v>
      </c>
      <c r="F39" s="141" t="s">
        <v>220</v>
      </c>
      <c r="G39" s="31">
        <f>SUM(G40:G40)</f>
        <v>0</v>
      </c>
      <c r="H39" s="31">
        <f>SUM(H40:H40)</f>
        <v>983.73</v>
      </c>
      <c r="I39" s="31">
        <f>SUM(I40:I40)</f>
        <v>0</v>
      </c>
      <c r="J39" s="31">
        <f>SUM(J40:J40)</f>
        <v>983.73</v>
      </c>
    </row>
    <row r="40" spans="1:10" ht="12.75" customHeight="1" hidden="1" thickBot="1">
      <c r="A40" s="189"/>
      <c r="B40" s="283"/>
      <c r="C40" s="284"/>
      <c r="D40" s="285">
        <v>2212</v>
      </c>
      <c r="E40" s="285">
        <v>5169</v>
      </c>
      <c r="F40" s="286" t="s">
        <v>49</v>
      </c>
      <c r="G40" s="32">
        <v>0</v>
      </c>
      <c r="H40" s="65">
        <v>983.73</v>
      </c>
      <c r="I40" s="91"/>
      <c r="J40" s="91">
        <f>H40+I40</f>
        <v>983.73</v>
      </c>
    </row>
    <row r="41" spans="1:10" ht="12.75" hidden="1">
      <c r="A41" s="189"/>
      <c r="B41" s="263" t="s">
        <v>5</v>
      </c>
      <c r="C41" s="249" t="s">
        <v>221</v>
      </c>
      <c r="D41" s="264" t="s">
        <v>3</v>
      </c>
      <c r="E41" s="264" t="s">
        <v>3</v>
      </c>
      <c r="F41" s="141" t="s">
        <v>222</v>
      </c>
      <c r="G41" s="31">
        <f>SUM(G42:G42)</f>
        <v>0</v>
      </c>
      <c r="H41" s="31">
        <f>SUM(H42:H42)</f>
        <v>525.0830000000001</v>
      </c>
      <c r="I41" s="31">
        <f>SUM(I42:I42)</f>
        <v>0</v>
      </c>
      <c r="J41" s="31">
        <f>SUM(J42:J42)</f>
        <v>525.0830000000001</v>
      </c>
    </row>
    <row r="42" spans="1:10" ht="13.5" hidden="1" thickBot="1">
      <c r="A42" s="189"/>
      <c r="B42" s="293"/>
      <c r="C42" s="284"/>
      <c r="D42" s="285">
        <v>2212</v>
      </c>
      <c r="E42" s="294">
        <v>6121</v>
      </c>
      <c r="F42" s="295" t="s">
        <v>210</v>
      </c>
      <c r="G42" s="273">
        <v>0</v>
      </c>
      <c r="H42" s="34">
        <f>59.895+24.142+1156.871-715.825</f>
        <v>525.0830000000001</v>
      </c>
      <c r="I42" s="91"/>
      <c r="J42" s="91">
        <f>H42+I42</f>
        <v>525.0830000000001</v>
      </c>
    </row>
    <row r="43" spans="1:10" ht="12.75" hidden="1">
      <c r="A43" s="189"/>
      <c r="B43" s="263" t="s">
        <v>5</v>
      </c>
      <c r="C43" s="249" t="s">
        <v>223</v>
      </c>
      <c r="D43" s="264" t="s">
        <v>3</v>
      </c>
      <c r="E43" s="264" t="s">
        <v>3</v>
      </c>
      <c r="F43" s="141" t="s">
        <v>224</v>
      </c>
      <c r="G43" s="31">
        <f>SUM(G44:G44)</f>
        <v>0</v>
      </c>
      <c r="H43" s="31">
        <f>SUM(H44:H44)</f>
        <v>3143.917</v>
      </c>
      <c r="I43" s="31">
        <f>SUM(I44:I44)</f>
        <v>0</v>
      </c>
      <c r="J43" s="31">
        <f>SUM(J44:J44)</f>
        <v>3143.917</v>
      </c>
    </row>
    <row r="44" spans="1:10" ht="13.5" hidden="1" thickBot="1">
      <c r="A44" s="189"/>
      <c r="B44" s="283"/>
      <c r="C44" s="284"/>
      <c r="D44" s="285">
        <v>2212</v>
      </c>
      <c r="E44" s="294">
        <v>6121</v>
      </c>
      <c r="F44" s="295" t="s">
        <v>210</v>
      </c>
      <c r="G44" s="32">
        <v>0</v>
      </c>
      <c r="H44" s="296">
        <f>29.04+1483.555-1483.555+3114.877</f>
        <v>3143.917</v>
      </c>
      <c r="I44" s="91"/>
      <c r="J44" s="91">
        <f>H44+I44</f>
        <v>3143.917</v>
      </c>
    </row>
    <row r="45" spans="1:10" ht="12.75" hidden="1">
      <c r="A45" s="189"/>
      <c r="B45" s="263" t="s">
        <v>5</v>
      </c>
      <c r="C45" s="249" t="s">
        <v>225</v>
      </c>
      <c r="D45" s="264" t="s">
        <v>3</v>
      </c>
      <c r="E45" s="264" t="s">
        <v>3</v>
      </c>
      <c r="F45" s="141" t="s">
        <v>226</v>
      </c>
      <c r="G45" s="31">
        <f>SUM(G46:G46)</f>
        <v>0</v>
      </c>
      <c r="H45" s="31">
        <f>SUM(H46:H46)</f>
        <v>158.37400000000002</v>
      </c>
      <c r="I45" s="31">
        <f>SUM(I46:I46)</f>
        <v>0</v>
      </c>
      <c r="J45" s="31">
        <f>SUM(J46:J46)</f>
        <v>158.37400000000002</v>
      </c>
    </row>
    <row r="46" spans="1:10" ht="13.5" hidden="1" thickBot="1">
      <c r="A46" s="189"/>
      <c r="B46" s="283"/>
      <c r="C46" s="284"/>
      <c r="D46" s="285">
        <v>2212</v>
      </c>
      <c r="E46" s="294">
        <v>6121</v>
      </c>
      <c r="F46" s="295" t="s">
        <v>210</v>
      </c>
      <c r="G46" s="32">
        <v>0</v>
      </c>
      <c r="H46" s="273">
        <f>158.374+589.522-589.522</f>
        <v>158.37400000000002</v>
      </c>
      <c r="I46" s="91"/>
      <c r="J46" s="91">
        <f>H46+I46</f>
        <v>158.37400000000002</v>
      </c>
    </row>
    <row r="47" spans="1:10" ht="12.75" hidden="1">
      <c r="A47" s="189"/>
      <c r="B47" s="263" t="s">
        <v>5</v>
      </c>
      <c r="C47" s="249" t="s">
        <v>227</v>
      </c>
      <c r="D47" s="264" t="s">
        <v>3</v>
      </c>
      <c r="E47" s="264" t="s">
        <v>3</v>
      </c>
      <c r="F47" s="141" t="s">
        <v>228</v>
      </c>
      <c r="G47" s="31">
        <f>SUM(G48:G48)</f>
        <v>0</v>
      </c>
      <c r="H47" s="31">
        <f>SUM(H48:H48)</f>
        <v>9188.214999999998</v>
      </c>
      <c r="I47" s="31">
        <f>SUM(I48:I48)</f>
        <v>0</v>
      </c>
      <c r="J47" s="31">
        <f>SUM(J48:J48)</f>
        <v>9188.214999999998</v>
      </c>
    </row>
    <row r="48" spans="1:10" ht="13.5" hidden="1" thickBot="1">
      <c r="A48" s="189"/>
      <c r="B48" s="283"/>
      <c r="C48" s="284"/>
      <c r="D48" s="285">
        <v>2212</v>
      </c>
      <c r="E48" s="294">
        <v>6121</v>
      </c>
      <c r="F48" s="295" t="s">
        <v>210</v>
      </c>
      <c r="G48" s="32">
        <v>0</v>
      </c>
      <c r="H48" s="34">
        <f>53.9+30.185+9104.13</f>
        <v>9188.214999999998</v>
      </c>
      <c r="I48" s="91"/>
      <c r="J48" s="91">
        <f>H48+I48</f>
        <v>9188.214999999998</v>
      </c>
    </row>
    <row r="49" spans="1:10" ht="12.75" hidden="1">
      <c r="A49" s="189"/>
      <c r="B49" s="263" t="s">
        <v>5</v>
      </c>
      <c r="C49" s="249" t="s">
        <v>229</v>
      </c>
      <c r="D49" s="264" t="s">
        <v>3</v>
      </c>
      <c r="E49" s="264" t="s">
        <v>3</v>
      </c>
      <c r="F49" s="141" t="s">
        <v>230</v>
      </c>
      <c r="G49" s="31">
        <f>SUM(G50:G50)</f>
        <v>0</v>
      </c>
      <c r="H49" s="31">
        <f>SUM(H50:H50)</f>
        <v>825.119</v>
      </c>
      <c r="I49" s="31">
        <f>SUM(I50:I50)</f>
        <v>0</v>
      </c>
      <c r="J49" s="31">
        <f>SUM(J50:J50)</f>
        <v>825.119</v>
      </c>
    </row>
    <row r="50" spans="1:10" ht="13.5" hidden="1" thickBot="1">
      <c r="A50" s="189"/>
      <c r="B50" s="283"/>
      <c r="C50" s="284"/>
      <c r="D50" s="285">
        <v>2212</v>
      </c>
      <c r="E50" s="297">
        <v>6121</v>
      </c>
      <c r="F50" s="298" t="s">
        <v>210</v>
      </c>
      <c r="G50" s="32">
        <v>0</v>
      </c>
      <c r="H50" s="34">
        <f>50.336+17.098+1041.498-283.813</f>
        <v>825.119</v>
      </c>
      <c r="I50" s="91"/>
      <c r="J50" s="91">
        <f>H50+I50</f>
        <v>825.119</v>
      </c>
    </row>
    <row r="51" spans="1:10" ht="12.75" hidden="1">
      <c r="A51" s="189"/>
      <c r="B51" s="263" t="s">
        <v>5</v>
      </c>
      <c r="C51" s="249" t="s">
        <v>231</v>
      </c>
      <c r="D51" s="257" t="s">
        <v>3</v>
      </c>
      <c r="E51" s="257" t="s">
        <v>3</v>
      </c>
      <c r="F51" s="287" t="s">
        <v>232</v>
      </c>
      <c r="G51" s="137">
        <f>SUM(G52:G52)</f>
        <v>0</v>
      </c>
      <c r="H51" s="31">
        <f>SUM(H52:H52)</f>
        <v>18.876</v>
      </c>
      <c r="I51" s="31">
        <f>SUM(I52:I52)</f>
        <v>0</v>
      </c>
      <c r="J51" s="137">
        <f>SUM(J52:J52)</f>
        <v>18.876</v>
      </c>
    </row>
    <row r="52" spans="1:10" ht="13.5" hidden="1" thickBot="1">
      <c r="A52" s="189"/>
      <c r="B52" s="253"/>
      <c r="C52" s="284"/>
      <c r="D52" s="297">
        <v>2212</v>
      </c>
      <c r="E52" s="297">
        <v>6121</v>
      </c>
      <c r="F52" s="298" t="s">
        <v>210</v>
      </c>
      <c r="G52" s="91">
        <v>0</v>
      </c>
      <c r="H52" s="34">
        <v>18.876</v>
      </c>
      <c r="I52" s="91"/>
      <c r="J52" s="91">
        <f>H52+I52</f>
        <v>18.876</v>
      </c>
    </row>
    <row r="53" spans="1:10" ht="12.75" hidden="1">
      <c r="A53" s="189"/>
      <c r="B53" s="263" t="s">
        <v>5</v>
      </c>
      <c r="C53" s="249" t="s">
        <v>233</v>
      </c>
      <c r="D53" s="257" t="s">
        <v>3</v>
      </c>
      <c r="E53" s="257" t="s">
        <v>3</v>
      </c>
      <c r="F53" s="287" t="s">
        <v>234</v>
      </c>
      <c r="G53" s="137">
        <f>SUM(G54:G54)</f>
        <v>0</v>
      </c>
      <c r="H53" s="31">
        <f>SUM(H54:H54)</f>
        <v>2776.516</v>
      </c>
      <c r="I53" s="31">
        <f>SUM(I54:I54)</f>
        <v>0</v>
      </c>
      <c r="J53" s="137">
        <f>SUM(J54:J54)</f>
        <v>2776.516</v>
      </c>
    </row>
    <row r="54" spans="1:10" ht="13.5" hidden="1" thickBot="1">
      <c r="A54" s="189"/>
      <c r="B54" s="253"/>
      <c r="C54" s="284"/>
      <c r="D54" s="297">
        <v>2212</v>
      </c>
      <c r="E54" s="297">
        <v>6121</v>
      </c>
      <c r="F54" s="298" t="s">
        <v>210</v>
      </c>
      <c r="G54" s="91">
        <v>0</v>
      </c>
      <c r="H54" s="34">
        <f>2923.862-147.346</f>
        <v>2776.516</v>
      </c>
      <c r="I54" s="91"/>
      <c r="J54" s="91">
        <f>H54+I54</f>
        <v>2776.516</v>
      </c>
    </row>
    <row r="55" spans="1:10" ht="12.75" hidden="1">
      <c r="A55" s="189"/>
      <c r="B55" s="263" t="s">
        <v>5</v>
      </c>
      <c r="C55" s="249" t="s">
        <v>235</v>
      </c>
      <c r="D55" s="257" t="s">
        <v>3</v>
      </c>
      <c r="E55" s="257" t="s">
        <v>3</v>
      </c>
      <c r="F55" s="287" t="s">
        <v>236</v>
      </c>
      <c r="G55" s="137">
        <f>SUM(G56:G56)</f>
        <v>0</v>
      </c>
      <c r="H55" s="31">
        <f>SUM(H56:H56)</f>
        <v>52.829</v>
      </c>
      <c r="I55" s="31">
        <f>SUM(I56:I56)</f>
        <v>0</v>
      </c>
      <c r="J55" s="137">
        <f>SUM(J56:J56)</f>
        <v>52.829</v>
      </c>
    </row>
    <row r="56" spans="1:10" ht="13.5" hidden="1" thickBot="1">
      <c r="A56" s="189"/>
      <c r="B56" s="253"/>
      <c r="C56" s="284"/>
      <c r="D56" s="297">
        <v>2212</v>
      </c>
      <c r="E56" s="297">
        <v>6121</v>
      </c>
      <c r="F56" s="298" t="s">
        <v>210</v>
      </c>
      <c r="G56" s="91">
        <v>0</v>
      </c>
      <c r="H56" s="34">
        <f>37.752+15.077</f>
        <v>52.829</v>
      </c>
      <c r="I56" s="91"/>
      <c r="J56" s="91">
        <f>H56+I56</f>
        <v>52.829</v>
      </c>
    </row>
    <row r="57" spans="1:10" ht="12.75" hidden="1">
      <c r="A57" s="189"/>
      <c r="B57" s="263" t="s">
        <v>5</v>
      </c>
      <c r="C57" s="249" t="s">
        <v>237</v>
      </c>
      <c r="D57" s="257" t="s">
        <v>3</v>
      </c>
      <c r="E57" s="257" t="s">
        <v>3</v>
      </c>
      <c r="F57" s="287" t="s">
        <v>238</v>
      </c>
      <c r="G57" s="137">
        <f>SUM(G58:G58)</f>
        <v>0</v>
      </c>
      <c r="H57" s="31">
        <f>SUM(H58:H58)</f>
        <v>34.727000000000004</v>
      </c>
      <c r="I57" s="31">
        <f>SUM(I58:I58)</f>
        <v>0</v>
      </c>
      <c r="J57" s="137">
        <f>SUM(J58:J58)</f>
        <v>34.727000000000004</v>
      </c>
    </row>
    <row r="58" spans="1:10" ht="13.5" hidden="1" thickBot="1">
      <c r="A58" s="189"/>
      <c r="B58" s="253"/>
      <c r="C58" s="284"/>
      <c r="D58" s="297">
        <v>2212</v>
      </c>
      <c r="E58" s="297">
        <v>6121</v>
      </c>
      <c r="F58" s="298" t="s">
        <v>210</v>
      </c>
      <c r="G58" s="91">
        <v>0</v>
      </c>
      <c r="H58" s="34">
        <f>14.157+53.778-33.208</f>
        <v>34.727000000000004</v>
      </c>
      <c r="I58" s="91"/>
      <c r="J58" s="91">
        <f>H58+I58</f>
        <v>34.727000000000004</v>
      </c>
    </row>
    <row r="59" spans="1:10" ht="12.75" hidden="1">
      <c r="A59" s="189"/>
      <c r="B59" s="263" t="s">
        <v>5</v>
      </c>
      <c r="C59" s="249" t="s">
        <v>239</v>
      </c>
      <c r="D59" s="257" t="s">
        <v>3</v>
      </c>
      <c r="E59" s="257" t="s">
        <v>3</v>
      </c>
      <c r="F59" s="287" t="s">
        <v>240</v>
      </c>
      <c r="G59" s="137">
        <f>SUM(G60:G60)</f>
        <v>0</v>
      </c>
      <c r="H59" s="31">
        <f>SUM(H60:H60)</f>
        <v>72.423</v>
      </c>
      <c r="I59" s="31">
        <f>SUM(I60:I60)</f>
        <v>0</v>
      </c>
      <c r="J59" s="137">
        <f>SUM(J60:J60)</f>
        <v>72.423</v>
      </c>
    </row>
    <row r="60" spans="1:10" ht="13.5" hidden="1" thickBot="1">
      <c r="A60" s="189"/>
      <c r="B60" s="253"/>
      <c r="C60" s="284"/>
      <c r="D60" s="297">
        <v>2212</v>
      </c>
      <c r="E60" s="297">
        <v>6121</v>
      </c>
      <c r="F60" s="298" t="s">
        <v>210</v>
      </c>
      <c r="G60" s="91">
        <v>0</v>
      </c>
      <c r="H60" s="34">
        <f>11.949+12.1+48.374</f>
        <v>72.423</v>
      </c>
      <c r="I60" s="91"/>
      <c r="J60" s="91">
        <f>H60+I60</f>
        <v>72.423</v>
      </c>
    </row>
    <row r="61" spans="1:10" ht="12.75" hidden="1">
      <c r="A61" s="189"/>
      <c r="B61" s="263" t="s">
        <v>5</v>
      </c>
      <c r="C61" s="249" t="s">
        <v>241</v>
      </c>
      <c r="D61" s="257" t="s">
        <v>3</v>
      </c>
      <c r="E61" s="257" t="s">
        <v>3</v>
      </c>
      <c r="F61" s="287" t="s">
        <v>242</v>
      </c>
      <c r="G61" s="137">
        <f>SUM(G62:G62)</f>
        <v>0</v>
      </c>
      <c r="H61" s="31">
        <f>SUM(H62:H62)</f>
        <v>7888.289</v>
      </c>
      <c r="I61" s="31">
        <f>SUM(I62:I62)</f>
        <v>0</v>
      </c>
      <c r="J61" s="137">
        <f>SUM(J62:J62)</f>
        <v>7888.289</v>
      </c>
    </row>
    <row r="62" spans="1:10" ht="13.5" hidden="1" thickBot="1">
      <c r="A62" s="189"/>
      <c r="B62" s="253"/>
      <c r="C62" s="284"/>
      <c r="D62" s="297">
        <v>2212</v>
      </c>
      <c r="E62" s="297">
        <v>6121</v>
      </c>
      <c r="F62" s="298" t="s">
        <v>210</v>
      </c>
      <c r="G62" s="91">
        <v>0</v>
      </c>
      <c r="H62" s="273">
        <f>47.19+14.036+7827.063</f>
        <v>7888.289</v>
      </c>
      <c r="I62" s="273"/>
      <c r="J62" s="91">
        <f>H62+I62</f>
        <v>7888.289</v>
      </c>
    </row>
    <row r="63" spans="1:10" ht="12.75" hidden="1">
      <c r="A63" s="189"/>
      <c r="B63" s="263" t="s">
        <v>5</v>
      </c>
      <c r="C63" s="249" t="s">
        <v>243</v>
      </c>
      <c r="D63" s="264" t="s">
        <v>3</v>
      </c>
      <c r="E63" s="264" t="s">
        <v>3</v>
      </c>
      <c r="F63" s="141" t="s">
        <v>244</v>
      </c>
      <c r="G63" s="137">
        <f>SUM(G64:G64)</f>
        <v>0</v>
      </c>
      <c r="H63" s="31">
        <f>SUM(H64:H64)</f>
        <v>15.125</v>
      </c>
      <c r="I63" s="31">
        <f>SUM(I64:I64)</f>
        <v>0</v>
      </c>
      <c r="J63" s="137">
        <f>SUM(J64:J64)</f>
        <v>15.125</v>
      </c>
    </row>
    <row r="64" spans="1:10" ht="13.5" hidden="1" thickBot="1">
      <c r="A64" s="189"/>
      <c r="B64" s="293"/>
      <c r="C64" s="299"/>
      <c r="D64" s="138">
        <v>2212</v>
      </c>
      <c r="E64" s="138">
        <v>6121</v>
      </c>
      <c r="F64" s="300" t="s">
        <v>210</v>
      </c>
      <c r="G64" s="91">
        <v>0</v>
      </c>
      <c r="H64" s="273">
        <f>15.125+40.479-40.479</f>
        <v>15.125</v>
      </c>
      <c r="I64" s="91"/>
      <c r="J64" s="91">
        <f>H64+I64</f>
        <v>15.125</v>
      </c>
    </row>
    <row r="65" spans="1:10" ht="12.75" hidden="1">
      <c r="A65" s="189"/>
      <c r="B65" s="263" t="s">
        <v>5</v>
      </c>
      <c r="C65" s="249" t="s">
        <v>245</v>
      </c>
      <c r="D65" s="264" t="s">
        <v>3</v>
      </c>
      <c r="E65" s="264" t="s">
        <v>3</v>
      </c>
      <c r="F65" s="141" t="s">
        <v>246</v>
      </c>
      <c r="G65" s="137">
        <f>SUM(G66:G66)</f>
        <v>0</v>
      </c>
      <c r="H65" s="31">
        <f>SUM(H66:H66)</f>
        <v>11.495</v>
      </c>
      <c r="I65" s="31">
        <f>SUM(I66:I66)</f>
        <v>0</v>
      </c>
      <c r="J65" s="137">
        <f>SUM(J66:J66)</f>
        <v>11.495</v>
      </c>
    </row>
    <row r="66" spans="1:10" ht="13.5" hidden="1" thickBot="1">
      <c r="A66" s="189"/>
      <c r="B66" s="293"/>
      <c r="C66" s="299"/>
      <c r="D66" s="285">
        <v>2212</v>
      </c>
      <c r="E66" s="285">
        <v>5169</v>
      </c>
      <c r="F66" s="301" t="s">
        <v>49</v>
      </c>
      <c r="G66" s="91">
        <v>0</v>
      </c>
      <c r="H66" s="273">
        <v>11.495</v>
      </c>
      <c r="I66" s="91"/>
      <c r="J66" s="91">
        <f>H66+I66</f>
        <v>11.495</v>
      </c>
    </row>
    <row r="67" spans="1:10" ht="12.75" hidden="1">
      <c r="A67" s="189"/>
      <c r="B67" s="263" t="s">
        <v>5</v>
      </c>
      <c r="C67" s="249" t="s">
        <v>247</v>
      </c>
      <c r="D67" s="264" t="s">
        <v>3</v>
      </c>
      <c r="E67" s="264" t="s">
        <v>3</v>
      </c>
      <c r="F67" s="141" t="s">
        <v>248</v>
      </c>
      <c r="G67" s="137">
        <f>SUM(G68:G68)</f>
        <v>0</v>
      </c>
      <c r="H67" s="31">
        <f>SUM(H68:H68)</f>
        <v>12.1</v>
      </c>
      <c r="I67" s="31">
        <f>SUM(I68:I68)</f>
        <v>0</v>
      </c>
      <c r="J67" s="137">
        <f>SUM(J68:J68)</f>
        <v>12.1</v>
      </c>
    </row>
    <row r="68" spans="1:10" ht="13.5" hidden="1" thickBot="1">
      <c r="A68" s="189"/>
      <c r="B68" s="265"/>
      <c r="C68" s="266"/>
      <c r="D68" s="267">
        <v>2212</v>
      </c>
      <c r="E68" s="267">
        <v>5169</v>
      </c>
      <c r="F68" s="302" t="s">
        <v>49</v>
      </c>
      <c r="G68" s="91">
        <v>0</v>
      </c>
      <c r="H68" s="34">
        <v>12.1</v>
      </c>
      <c r="I68" s="91"/>
      <c r="J68" s="91">
        <f>H68+I68</f>
        <v>12.1</v>
      </c>
    </row>
    <row r="69" spans="1:10" ht="12.75" hidden="1">
      <c r="A69" s="189"/>
      <c r="B69" s="263" t="s">
        <v>5</v>
      </c>
      <c r="C69" s="249" t="s">
        <v>249</v>
      </c>
      <c r="D69" s="264" t="s">
        <v>3</v>
      </c>
      <c r="E69" s="264" t="s">
        <v>3</v>
      </c>
      <c r="F69" s="141" t="s">
        <v>250</v>
      </c>
      <c r="G69" s="137">
        <f>SUM(G70:G70)</f>
        <v>0</v>
      </c>
      <c r="H69" s="31">
        <f>SUM(H70:H70)</f>
        <v>13489.08</v>
      </c>
      <c r="I69" s="31">
        <f>SUM(I70:I70)</f>
        <v>0</v>
      </c>
      <c r="J69" s="137">
        <f>SUM(J70:J70)</f>
        <v>13489.08</v>
      </c>
    </row>
    <row r="70" spans="1:11" ht="13.5" hidden="1" thickBot="1">
      <c r="A70" s="189"/>
      <c r="B70" s="303"/>
      <c r="C70" s="299"/>
      <c r="D70" s="285">
        <v>2212</v>
      </c>
      <c r="E70" s="285">
        <v>6121</v>
      </c>
      <c r="F70" s="298" t="s">
        <v>210</v>
      </c>
      <c r="G70" s="91">
        <v>0</v>
      </c>
      <c r="H70" s="273">
        <f>30.25+14.52+13086.15+313.39+44.77</f>
        <v>13489.08</v>
      </c>
      <c r="I70" s="91"/>
      <c r="J70" s="91">
        <f>H70+I70</f>
        <v>13489.08</v>
      </c>
      <c r="K70" s="282"/>
    </row>
    <row r="71" spans="1:10" ht="12.75" hidden="1">
      <c r="A71" s="189"/>
      <c r="B71" s="263" t="s">
        <v>5</v>
      </c>
      <c r="C71" s="249" t="s">
        <v>251</v>
      </c>
      <c r="D71" s="264" t="s">
        <v>3</v>
      </c>
      <c r="E71" s="264" t="s">
        <v>3</v>
      </c>
      <c r="F71" s="141" t="s">
        <v>252</v>
      </c>
      <c r="G71" s="137">
        <f>SUM(G72:G72)</f>
        <v>0</v>
      </c>
      <c r="H71" s="31">
        <f>SUM(H72:H72)</f>
        <v>10.89</v>
      </c>
      <c r="I71" s="31">
        <f>SUM(I72:I72)</f>
        <v>0</v>
      </c>
      <c r="J71" s="137">
        <f>SUM(J72:J72)</f>
        <v>10.89</v>
      </c>
    </row>
    <row r="72" spans="1:10" ht="13.5" hidden="1" thickBot="1">
      <c r="A72" s="189"/>
      <c r="B72" s="293"/>
      <c r="C72" s="299"/>
      <c r="D72" s="285">
        <v>2212</v>
      </c>
      <c r="E72" s="285">
        <v>5169</v>
      </c>
      <c r="F72" s="301" t="s">
        <v>49</v>
      </c>
      <c r="G72" s="91">
        <v>0</v>
      </c>
      <c r="H72" s="273">
        <v>10.89</v>
      </c>
      <c r="I72" s="91"/>
      <c r="J72" s="91">
        <f>H72+I72</f>
        <v>10.89</v>
      </c>
    </row>
    <row r="73" spans="1:10" ht="12.75" hidden="1">
      <c r="A73" s="189"/>
      <c r="B73" s="263" t="s">
        <v>5</v>
      </c>
      <c r="C73" s="249" t="s">
        <v>253</v>
      </c>
      <c r="D73" s="264" t="s">
        <v>3</v>
      </c>
      <c r="E73" s="264" t="s">
        <v>3</v>
      </c>
      <c r="F73" s="141" t="s">
        <v>254</v>
      </c>
      <c r="G73" s="137">
        <f>SUM(G74:G74)</f>
        <v>0</v>
      </c>
      <c r="H73" s="31">
        <f>SUM(H74:H74)</f>
        <v>30.069000000000003</v>
      </c>
      <c r="I73" s="31">
        <f>SUM(I74:I74)</f>
        <v>0</v>
      </c>
      <c r="J73" s="137">
        <f>SUM(J74:J74)</f>
        <v>30.069000000000003</v>
      </c>
    </row>
    <row r="74" spans="1:10" ht="13.5" hidden="1" thickBot="1">
      <c r="A74" s="189"/>
      <c r="B74" s="265"/>
      <c r="C74" s="266"/>
      <c r="D74" s="267">
        <v>2212</v>
      </c>
      <c r="E74" s="267">
        <v>5169</v>
      </c>
      <c r="F74" s="302" t="s">
        <v>49</v>
      </c>
      <c r="G74" s="91">
        <v>0</v>
      </c>
      <c r="H74" s="34">
        <f>12.1+17.969</f>
        <v>30.069000000000003</v>
      </c>
      <c r="I74" s="91"/>
      <c r="J74" s="91">
        <f>H74+I74</f>
        <v>30.069000000000003</v>
      </c>
    </row>
    <row r="75" spans="1:10" ht="12.75" hidden="1">
      <c r="A75" s="189"/>
      <c r="B75" s="263" t="s">
        <v>5</v>
      </c>
      <c r="C75" s="249" t="s">
        <v>255</v>
      </c>
      <c r="D75" s="264" t="s">
        <v>3</v>
      </c>
      <c r="E75" s="264" t="s">
        <v>3</v>
      </c>
      <c r="F75" s="141" t="s">
        <v>256</v>
      </c>
      <c r="G75" s="31">
        <f>SUM(G76:G77)</f>
        <v>0</v>
      </c>
      <c r="H75" s="31">
        <f>SUM(H76:H77)</f>
        <v>14.119</v>
      </c>
      <c r="I75" s="31">
        <f>SUM(I76:I77)</f>
        <v>0</v>
      </c>
      <c r="J75" s="31">
        <f>SUM(J76:J77)</f>
        <v>14.119</v>
      </c>
    </row>
    <row r="76" spans="1:10" ht="12.75" hidden="1">
      <c r="A76" s="189"/>
      <c r="B76" s="265"/>
      <c r="C76" s="266"/>
      <c r="D76" s="267">
        <v>2212</v>
      </c>
      <c r="E76" s="267">
        <v>5169</v>
      </c>
      <c r="F76" s="302" t="s">
        <v>49</v>
      </c>
      <c r="G76" s="34">
        <v>0</v>
      </c>
      <c r="H76" s="34">
        <f>14.119</f>
        <v>14.119</v>
      </c>
      <c r="I76" s="34"/>
      <c r="J76" s="34">
        <f>H76+I76</f>
        <v>14.119</v>
      </c>
    </row>
    <row r="77" spans="1:10" ht="13.5" hidden="1" thickBot="1">
      <c r="A77" s="189"/>
      <c r="B77" s="293"/>
      <c r="C77" s="299"/>
      <c r="D77" s="285">
        <v>2212</v>
      </c>
      <c r="E77" s="255">
        <v>5171</v>
      </c>
      <c r="F77" s="305" t="s">
        <v>218</v>
      </c>
      <c r="G77" s="273">
        <v>0</v>
      </c>
      <c r="H77" s="273">
        <f>49.323-49.323</f>
        <v>0</v>
      </c>
      <c r="I77" s="273"/>
      <c r="J77" s="91">
        <f>H77+I77</f>
        <v>0</v>
      </c>
    </row>
    <row r="78" spans="1:10" ht="12.75" hidden="1">
      <c r="A78" s="189"/>
      <c r="B78" s="263" t="s">
        <v>5</v>
      </c>
      <c r="C78" s="249" t="s">
        <v>257</v>
      </c>
      <c r="D78" s="264" t="s">
        <v>3</v>
      </c>
      <c r="E78" s="264" t="s">
        <v>3</v>
      </c>
      <c r="F78" s="141" t="s">
        <v>258</v>
      </c>
      <c r="G78" s="137">
        <f>SUM(G79:G79)</f>
        <v>0</v>
      </c>
      <c r="H78" s="31">
        <f>SUM(H79:H79)</f>
        <v>9.68</v>
      </c>
      <c r="I78" s="31">
        <f>SUM(I79:I79)</f>
        <v>0</v>
      </c>
      <c r="J78" s="137">
        <f>SUM(J79:J79)</f>
        <v>9.68</v>
      </c>
    </row>
    <row r="79" spans="1:10" ht="13.5" hidden="1" thickBot="1">
      <c r="A79" s="189"/>
      <c r="B79" s="265"/>
      <c r="C79" s="266"/>
      <c r="D79" s="267">
        <v>2212</v>
      </c>
      <c r="E79" s="267">
        <v>5169</v>
      </c>
      <c r="F79" s="302" t="s">
        <v>49</v>
      </c>
      <c r="G79" s="91">
        <v>0</v>
      </c>
      <c r="H79" s="34">
        <v>9.68</v>
      </c>
      <c r="I79" s="91"/>
      <c r="J79" s="91">
        <f>H79+I79</f>
        <v>9.68</v>
      </c>
    </row>
    <row r="80" spans="1:10" ht="12.75" hidden="1">
      <c r="A80" s="189"/>
      <c r="B80" s="263" t="s">
        <v>5</v>
      </c>
      <c r="C80" s="249" t="s">
        <v>259</v>
      </c>
      <c r="D80" s="264" t="s">
        <v>3</v>
      </c>
      <c r="E80" s="264" t="s">
        <v>3</v>
      </c>
      <c r="F80" s="141" t="s">
        <v>260</v>
      </c>
      <c r="G80" s="137">
        <f>SUM(G81:G81)</f>
        <v>0</v>
      </c>
      <c r="H80" s="31">
        <f>SUM(H81:H81)</f>
        <v>54.888999999999996</v>
      </c>
      <c r="I80" s="31">
        <f>SUM(I81:I81)</f>
        <v>0</v>
      </c>
      <c r="J80" s="137">
        <f>SUM(J81:J81)</f>
        <v>54.888999999999996</v>
      </c>
    </row>
    <row r="81" spans="1:10" ht="13.5" hidden="1" thickBot="1">
      <c r="A81" s="189"/>
      <c r="B81" s="293"/>
      <c r="C81" s="299"/>
      <c r="D81" s="285">
        <v>2212</v>
      </c>
      <c r="E81" s="138">
        <v>6121</v>
      </c>
      <c r="F81" s="300" t="s">
        <v>210</v>
      </c>
      <c r="G81" s="91">
        <v>0</v>
      </c>
      <c r="H81" s="273">
        <f>20.404+18.15+109.254+16.335-109.254</f>
        <v>54.888999999999996</v>
      </c>
      <c r="I81" s="91"/>
      <c r="J81" s="91">
        <f>H81+I81</f>
        <v>54.888999999999996</v>
      </c>
    </row>
    <row r="82" spans="1:10" ht="12.75" hidden="1">
      <c r="A82" s="189"/>
      <c r="B82" s="263" t="s">
        <v>5</v>
      </c>
      <c r="C82" s="249" t="s">
        <v>261</v>
      </c>
      <c r="D82" s="264" t="s">
        <v>3</v>
      </c>
      <c r="E82" s="264" t="s">
        <v>3</v>
      </c>
      <c r="F82" s="141" t="s">
        <v>262</v>
      </c>
      <c r="G82" s="137">
        <f>SUM(G83:G83)</f>
        <v>0</v>
      </c>
      <c r="H82" s="31">
        <f>SUM(H83:H83)</f>
        <v>25.410000000000025</v>
      </c>
      <c r="I82" s="31">
        <f>SUM(I83:I83)</f>
        <v>0</v>
      </c>
      <c r="J82" s="137">
        <f>SUM(J83:J83)</f>
        <v>25.410000000000025</v>
      </c>
    </row>
    <row r="83" spans="1:10" ht="13.5" hidden="1" thickBot="1">
      <c r="A83" s="189"/>
      <c r="B83" s="293"/>
      <c r="C83" s="299"/>
      <c r="D83" s="138">
        <v>2212</v>
      </c>
      <c r="E83" s="138">
        <v>6121</v>
      </c>
      <c r="F83" s="300" t="s">
        <v>210</v>
      </c>
      <c r="G83" s="91">
        <v>0</v>
      </c>
      <c r="H83" s="273">
        <f>25.41+397.321-397.321</f>
        <v>25.410000000000025</v>
      </c>
      <c r="I83" s="91"/>
      <c r="J83" s="91">
        <f>H83+I83</f>
        <v>25.410000000000025</v>
      </c>
    </row>
    <row r="84" spans="1:10" ht="12.75" hidden="1">
      <c r="A84" s="189"/>
      <c r="B84" s="263" t="s">
        <v>5</v>
      </c>
      <c r="C84" s="249" t="s">
        <v>263</v>
      </c>
      <c r="D84" s="264" t="s">
        <v>3</v>
      </c>
      <c r="E84" s="264" t="s">
        <v>3</v>
      </c>
      <c r="F84" s="141" t="s">
        <v>264</v>
      </c>
      <c r="G84" s="137">
        <f>SUM(G85:G85)</f>
        <v>0</v>
      </c>
      <c r="H84" s="31">
        <f>SUM(H85:H85)</f>
        <v>1957.333</v>
      </c>
      <c r="I84" s="31">
        <f>SUM(I85:I85)</f>
        <v>0</v>
      </c>
      <c r="J84" s="137">
        <f>SUM(J85:J85)</f>
        <v>1957.333</v>
      </c>
    </row>
    <row r="85" spans="1:10" ht="13.5" hidden="1" thickBot="1">
      <c r="A85" s="189"/>
      <c r="B85" s="293"/>
      <c r="C85" s="299"/>
      <c r="D85" s="285">
        <v>2212</v>
      </c>
      <c r="E85" s="138">
        <v>6121</v>
      </c>
      <c r="F85" s="300" t="s">
        <v>210</v>
      </c>
      <c r="G85" s="91">
        <v>0</v>
      </c>
      <c r="H85" s="273">
        <f>1555.803+370.845+13.2+17.485</f>
        <v>1957.333</v>
      </c>
      <c r="I85" s="91"/>
      <c r="J85" s="91">
        <f>H85+I85</f>
        <v>1957.333</v>
      </c>
    </row>
    <row r="86" spans="1:10" ht="12.75" hidden="1">
      <c r="A86" s="189"/>
      <c r="B86" s="263" t="s">
        <v>5</v>
      </c>
      <c r="C86" s="249" t="s">
        <v>265</v>
      </c>
      <c r="D86" s="264" t="s">
        <v>3</v>
      </c>
      <c r="E86" s="264" t="s">
        <v>3</v>
      </c>
      <c r="F86" s="141" t="s">
        <v>266</v>
      </c>
      <c r="G86" s="31">
        <f>SUM(G87:G88)</f>
        <v>0</v>
      </c>
      <c r="H86" s="31">
        <f>SUM(H87:H88)</f>
        <v>25.405</v>
      </c>
      <c r="I86" s="31">
        <f>SUM(I87:I88)</f>
        <v>0</v>
      </c>
      <c r="J86" s="31">
        <f>SUM(J87:J88)</f>
        <v>25.405</v>
      </c>
    </row>
    <row r="87" spans="1:10" ht="12.75" hidden="1">
      <c r="A87" s="189"/>
      <c r="B87" s="265"/>
      <c r="C87" s="266"/>
      <c r="D87" s="267">
        <v>2212</v>
      </c>
      <c r="E87" s="267">
        <v>5169</v>
      </c>
      <c r="F87" s="289" t="s">
        <v>49</v>
      </c>
      <c r="G87" s="34">
        <v>0</v>
      </c>
      <c r="H87" s="34">
        <f>7.92+17.485</f>
        <v>25.405</v>
      </c>
      <c r="I87" s="34"/>
      <c r="J87" s="34">
        <f>H87+I87</f>
        <v>25.405</v>
      </c>
    </row>
    <row r="88" spans="1:10" ht="13.5" hidden="1" thickBot="1">
      <c r="A88" s="189"/>
      <c r="B88" s="283"/>
      <c r="C88" s="254"/>
      <c r="D88" s="138">
        <v>2212</v>
      </c>
      <c r="E88" s="140">
        <v>5171</v>
      </c>
      <c r="F88" s="292" t="s">
        <v>218</v>
      </c>
      <c r="G88" s="32">
        <v>0</v>
      </c>
      <c r="H88" s="32">
        <f>86.584-86.584</f>
        <v>0</v>
      </c>
      <c r="I88" s="32"/>
      <c r="J88" s="91">
        <f>H88+I88</f>
        <v>0</v>
      </c>
    </row>
    <row r="89" spans="1:10" ht="12.75" hidden="1">
      <c r="A89" s="189"/>
      <c r="B89" s="263" t="s">
        <v>5</v>
      </c>
      <c r="C89" s="249" t="s">
        <v>267</v>
      </c>
      <c r="D89" s="264" t="s">
        <v>3</v>
      </c>
      <c r="E89" s="264" t="s">
        <v>3</v>
      </c>
      <c r="F89" s="141" t="s">
        <v>268</v>
      </c>
      <c r="G89" s="137">
        <f>SUM(G90:G90)</f>
        <v>0</v>
      </c>
      <c r="H89" s="31">
        <f>SUM(H90:H90)</f>
        <v>2735.218</v>
      </c>
      <c r="I89" s="31">
        <f>SUM(I90:I90)</f>
        <v>0</v>
      </c>
      <c r="J89" s="137">
        <f>SUM(J90:J90)</f>
        <v>2735.218</v>
      </c>
    </row>
    <row r="90" spans="1:10" ht="13.5" hidden="1" thickBot="1">
      <c r="A90" s="189"/>
      <c r="B90" s="293"/>
      <c r="C90" s="299"/>
      <c r="D90" s="285">
        <v>2212</v>
      </c>
      <c r="E90" s="138">
        <v>6121</v>
      </c>
      <c r="F90" s="300" t="s">
        <v>210</v>
      </c>
      <c r="G90" s="91">
        <v>0</v>
      </c>
      <c r="H90" s="273">
        <f>16.35+34.969+2683.899</f>
        <v>2735.218</v>
      </c>
      <c r="I90" s="273"/>
      <c r="J90" s="91">
        <f>H90+I90</f>
        <v>2735.218</v>
      </c>
    </row>
    <row r="91" spans="1:10" ht="12.75" hidden="1">
      <c r="A91" s="189"/>
      <c r="B91" s="263" t="s">
        <v>5</v>
      </c>
      <c r="C91" s="249" t="s">
        <v>269</v>
      </c>
      <c r="D91" s="264" t="s">
        <v>3</v>
      </c>
      <c r="E91" s="264" t="s">
        <v>3</v>
      </c>
      <c r="F91" s="141" t="s">
        <v>270</v>
      </c>
      <c r="G91" s="137">
        <f>SUM(G92:G92)</f>
        <v>0</v>
      </c>
      <c r="H91" s="31">
        <f>SUM(H92:H92)</f>
        <v>4650.151</v>
      </c>
      <c r="I91" s="31">
        <f>SUM(I92:I92)</f>
        <v>0</v>
      </c>
      <c r="J91" s="137">
        <f>SUM(J92:J92)</f>
        <v>4650.151</v>
      </c>
    </row>
    <row r="92" spans="1:10" ht="13.5" hidden="1" thickBot="1">
      <c r="A92" s="189"/>
      <c r="B92" s="293"/>
      <c r="C92" s="299"/>
      <c r="D92" s="285">
        <v>2212</v>
      </c>
      <c r="E92" s="285">
        <v>6121</v>
      </c>
      <c r="F92" s="298" t="s">
        <v>210</v>
      </c>
      <c r="G92" s="91">
        <v>0</v>
      </c>
      <c r="H92" s="273">
        <f>4706.744-120.142+24.829+38.72</f>
        <v>4650.151</v>
      </c>
      <c r="I92" s="91"/>
      <c r="J92" s="91">
        <f>H92+I92</f>
        <v>4650.151</v>
      </c>
    </row>
    <row r="93" spans="1:10" ht="12.75" hidden="1">
      <c r="A93" s="189"/>
      <c r="B93" s="263" t="s">
        <v>5</v>
      </c>
      <c r="C93" s="249" t="s">
        <v>271</v>
      </c>
      <c r="D93" s="264" t="s">
        <v>3</v>
      </c>
      <c r="E93" s="264" t="s">
        <v>3</v>
      </c>
      <c r="F93" s="141" t="s">
        <v>272</v>
      </c>
      <c r="G93" s="31">
        <f>SUM(G94:G95)</f>
        <v>0</v>
      </c>
      <c r="H93" s="31">
        <f>SUM(H94:H95)</f>
        <v>915.35</v>
      </c>
      <c r="I93" s="31">
        <f>SUM(I94:I95)</f>
        <v>0</v>
      </c>
      <c r="J93" s="31">
        <f>SUM(J94:J95)</f>
        <v>915.35</v>
      </c>
    </row>
    <row r="94" spans="1:10" ht="12.75" hidden="1">
      <c r="A94" s="189"/>
      <c r="B94" s="265"/>
      <c r="C94" s="266"/>
      <c r="D94" s="267">
        <v>2212</v>
      </c>
      <c r="E94" s="267">
        <v>5169</v>
      </c>
      <c r="F94" s="289" t="s">
        <v>49</v>
      </c>
      <c r="G94" s="65">
        <v>0</v>
      </c>
      <c r="H94" s="34">
        <f>14.702+18.15</f>
        <v>32.852</v>
      </c>
      <c r="I94" s="65"/>
      <c r="J94" s="65">
        <f>H94+I94</f>
        <v>32.852</v>
      </c>
    </row>
    <row r="95" spans="1:10" ht="13.5" hidden="1" thickBot="1">
      <c r="A95" s="189"/>
      <c r="B95" s="274"/>
      <c r="C95" s="291"/>
      <c r="D95" s="138">
        <v>2212</v>
      </c>
      <c r="E95" s="140">
        <v>5171</v>
      </c>
      <c r="F95" s="292" t="s">
        <v>218</v>
      </c>
      <c r="G95" s="32">
        <v>0</v>
      </c>
      <c r="H95" s="273">
        <v>882.498</v>
      </c>
      <c r="I95" s="359"/>
      <c r="J95" s="91">
        <f>H95+I95</f>
        <v>882.498</v>
      </c>
    </row>
    <row r="96" spans="1:10" ht="12.75" hidden="1">
      <c r="A96" s="189"/>
      <c r="B96" s="263" t="s">
        <v>5</v>
      </c>
      <c r="C96" s="249" t="s">
        <v>273</v>
      </c>
      <c r="D96" s="264" t="s">
        <v>3</v>
      </c>
      <c r="E96" s="264" t="s">
        <v>3</v>
      </c>
      <c r="F96" s="141" t="s">
        <v>274</v>
      </c>
      <c r="G96" s="137">
        <f>SUM(G97:G97)</f>
        <v>0</v>
      </c>
      <c r="H96" s="31">
        <f>SUM(H97:H97)</f>
        <v>656.7420000000001</v>
      </c>
      <c r="I96" s="31">
        <f>SUM(I97:I97)</f>
        <v>0</v>
      </c>
      <c r="J96" s="137">
        <f>SUM(J97:J97)</f>
        <v>656.7420000000001</v>
      </c>
    </row>
    <row r="97" spans="1:10" ht="13.5" hidden="1" thickBot="1">
      <c r="A97" s="189"/>
      <c r="B97" s="293"/>
      <c r="C97" s="299"/>
      <c r="D97" s="285">
        <v>2212</v>
      </c>
      <c r="E97" s="285">
        <v>6121</v>
      </c>
      <c r="F97" s="298" t="s">
        <v>210</v>
      </c>
      <c r="G97" s="91">
        <v>0</v>
      </c>
      <c r="H97" s="273">
        <f>27.443+41.14+1392.143-803.984</f>
        <v>656.7420000000001</v>
      </c>
      <c r="I97" s="91"/>
      <c r="J97" s="91">
        <f>H97+I97</f>
        <v>656.7420000000001</v>
      </c>
    </row>
    <row r="98" spans="1:10" ht="12.75" hidden="1">
      <c r="A98" s="189"/>
      <c r="B98" s="263" t="s">
        <v>5</v>
      </c>
      <c r="C98" s="249" t="s">
        <v>275</v>
      </c>
      <c r="D98" s="264" t="s">
        <v>3</v>
      </c>
      <c r="E98" s="264" t="s">
        <v>3</v>
      </c>
      <c r="F98" s="141" t="s">
        <v>276</v>
      </c>
      <c r="G98" s="137">
        <f>SUM(G99:G99)</f>
        <v>0</v>
      </c>
      <c r="H98" s="31">
        <f>SUM(H99:H99)</f>
        <v>0</v>
      </c>
      <c r="I98" s="31">
        <f>SUM(I99:I99)</f>
        <v>0</v>
      </c>
      <c r="J98" s="137">
        <f>SUM(J99:J99)</f>
        <v>0</v>
      </c>
    </row>
    <row r="99" spans="1:10" ht="13.5" hidden="1" thickBot="1">
      <c r="A99" s="189"/>
      <c r="B99" s="293"/>
      <c r="C99" s="299"/>
      <c r="D99" s="285">
        <v>2212</v>
      </c>
      <c r="E99" s="255">
        <v>5171</v>
      </c>
      <c r="F99" s="292" t="s">
        <v>218</v>
      </c>
      <c r="G99" s="91">
        <v>0</v>
      </c>
      <c r="H99" s="273">
        <f>260.156-48.374-211.782</f>
        <v>0</v>
      </c>
      <c r="I99" s="91"/>
      <c r="J99" s="91">
        <f>H99+I99</f>
        <v>0</v>
      </c>
    </row>
    <row r="100" spans="1:10" ht="12.75" hidden="1">
      <c r="A100" s="189"/>
      <c r="B100" s="263" t="s">
        <v>5</v>
      </c>
      <c r="C100" s="249" t="s">
        <v>277</v>
      </c>
      <c r="D100" s="264" t="s">
        <v>3</v>
      </c>
      <c r="E100" s="264" t="s">
        <v>3</v>
      </c>
      <c r="F100" s="141" t="s">
        <v>278</v>
      </c>
      <c r="G100" s="137">
        <f>SUM(G101:G101)</f>
        <v>0</v>
      </c>
      <c r="H100" s="31">
        <f>SUM(H101:H101)</f>
        <v>5136.081999999999</v>
      </c>
      <c r="I100" s="31">
        <f>SUM(I101:I101)</f>
        <v>0</v>
      </c>
      <c r="J100" s="137">
        <f>SUM(J101:J101)</f>
        <v>5136.081999999999</v>
      </c>
    </row>
    <row r="101" spans="1:10" ht="13.5" hidden="1" thickBot="1">
      <c r="A101" s="189"/>
      <c r="B101" s="293"/>
      <c r="C101" s="299"/>
      <c r="D101" s="285">
        <v>2212</v>
      </c>
      <c r="E101" s="138">
        <v>6121</v>
      </c>
      <c r="F101" s="300" t="s">
        <v>210</v>
      </c>
      <c r="G101" s="91">
        <v>0</v>
      </c>
      <c r="H101" s="273">
        <f>5055.516+57.566+23</f>
        <v>5136.081999999999</v>
      </c>
      <c r="I101" s="91"/>
      <c r="J101" s="91">
        <f>H101+I101</f>
        <v>5136.081999999999</v>
      </c>
    </row>
    <row r="102" spans="1:10" ht="12.75" hidden="1">
      <c r="A102" s="189"/>
      <c r="B102" s="263" t="s">
        <v>5</v>
      </c>
      <c r="C102" s="249" t="s">
        <v>279</v>
      </c>
      <c r="D102" s="264" t="s">
        <v>3</v>
      </c>
      <c r="E102" s="264" t="s">
        <v>3</v>
      </c>
      <c r="F102" s="141" t="s">
        <v>280</v>
      </c>
      <c r="G102" s="31">
        <f>SUM(G103:G104)</f>
        <v>0</v>
      </c>
      <c r="H102" s="31">
        <f>SUM(H103:H104)</f>
        <v>5725.936</v>
      </c>
      <c r="I102" s="31">
        <f>SUM(I103:I104)</f>
        <v>0</v>
      </c>
      <c r="J102" s="31">
        <f>SUM(J103:J104)</f>
        <v>5725.936</v>
      </c>
    </row>
    <row r="103" spans="1:10" ht="12.75" hidden="1">
      <c r="A103" s="189"/>
      <c r="B103" s="265"/>
      <c r="C103" s="266"/>
      <c r="D103" s="267">
        <v>2212</v>
      </c>
      <c r="E103" s="267">
        <v>5169</v>
      </c>
      <c r="F103" s="289" t="s">
        <v>49</v>
      </c>
      <c r="G103" s="65">
        <v>0</v>
      </c>
      <c r="H103" s="34">
        <f>38.72+17.226</f>
        <v>55.946</v>
      </c>
      <c r="I103" s="34"/>
      <c r="J103" s="34">
        <f>H103+I103</f>
        <v>55.946</v>
      </c>
    </row>
    <row r="104" spans="1:10" ht="13.5" hidden="1" thickBot="1">
      <c r="A104" s="189"/>
      <c r="B104" s="293"/>
      <c r="C104" s="299"/>
      <c r="D104" s="285">
        <v>2212</v>
      </c>
      <c r="E104" s="140">
        <v>5171</v>
      </c>
      <c r="F104" s="292" t="s">
        <v>218</v>
      </c>
      <c r="G104" s="91">
        <v>0</v>
      </c>
      <c r="H104" s="32">
        <f>8043.576+38.72+17.226-2373.586-(38.72+17.226)</f>
        <v>5669.99</v>
      </c>
      <c r="I104" s="32"/>
      <c r="J104" s="91">
        <f>H104+I104</f>
        <v>5669.99</v>
      </c>
    </row>
    <row r="105" spans="1:10" ht="12.75" hidden="1">
      <c r="A105" s="189"/>
      <c r="B105" s="263" t="s">
        <v>5</v>
      </c>
      <c r="C105" s="249" t="s">
        <v>281</v>
      </c>
      <c r="D105" s="264" t="s">
        <v>3</v>
      </c>
      <c r="E105" s="264" t="s">
        <v>3</v>
      </c>
      <c r="F105" s="141" t="s">
        <v>282</v>
      </c>
      <c r="G105" s="137">
        <f>SUM(G106:G106)</f>
        <v>0</v>
      </c>
      <c r="H105" s="31">
        <f>SUM(H106:H106)</f>
        <v>8429.793</v>
      </c>
      <c r="I105" s="31">
        <f>SUM(I106:I106)</f>
        <v>0</v>
      </c>
      <c r="J105" s="137">
        <f>SUM(J106:J106)</f>
        <v>8429.793</v>
      </c>
    </row>
    <row r="106" spans="1:10" ht="13.5" hidden="1" thickBot="1">
      <c r="A106" s="189"/>
      <c r="B106" s="293"/>
      <c r="C106" s="299"/>
      <c r="D106" s="285">
        <v>2212</v>
      </c>
      <c r="E106" s="138">
        <v>6121</v>
      </c>
      <c r="F106" s="300" t="s">
        <v>210</v>
      </c>
      <c r="G106" s="91">
        <v>0</v>
      </c>
      <c r="H106" s="273">
        <f>7000+1324.793+16+89</f>
        <v>8429.793</v>
      </c>
      <c r="I106" s="273"/>
      <c r="J106" s="91">
        <f>H106+I106</f>
        <v>8429.793</v>
      </c>
    </row>
    <row r="107" spans="1:10" ht="13.5" thickBot="1">
      <c r="A107" s="189"/>
      <c r="B107" s="277" t="s">
        <v>5</v>
      </c>
      <c r="C107" s="278" t="s">
        <v>3</v>
      </c>
      <c r="D107" s="279" t="s">
        <v>3</v>
      </c>
      <c r="E107" s="279" t="s">
        <v>3</v>
      </c>
      <c r="F107" s="280" t="s">
        <v>283</v>
      </c>
      <c r="G107" s="281">
        <f>G108+G112+G114+G116+G119+G121+G124+G126+G128+G131+G133+G135+G137+G139+G142+G144+G146+G149+G151+G153+G156+G158+G160+G163+G167+G171+G175+G178+G181+G185+G189+G193+G196+G199+G201+G204+G208+G212+G215+G218+G221+G224+G227+G229+G231</f>
        <v>81063</v>
      </c>
      <c r="H107" s="281">
        <f>H108+H112+H114+H116+H119+H121+H124+H126+H128+H131+H133+H135+H137+H139+H142+H144+H146+H149+H151+H153+H156+H158+H160+H163+H167+H171+H175+H178+H181+H185+H189+H193+H196+H199+H201+H204+H208+H212+H215+H218+H221+H224+H227+H229+H231</f>
        <v>394581.7149999999</v>
      </c>
      <c r="I107" s="281">
        <f>I108+I112+I114+I116+I119+I121+I124+I126+I128+I131+I133+I135+I137+I139+I142+I144+I146+I149+I151+I153+I156+I158+I160+I163+I167+I171+I175+I178+I181+I185+I189+I193+I196+I199+I201+I204+I208+I212+I215+I218+I221+I224+I227+I229+I231</f>
        <v>0</v>
      </c>
      <c r="J107" s="281">
        <f>J108+J112+J114+J116+J119+J121+J124+J126+J128+J131+J133+J135+J137+J139+J142+J144+J146+J149+J151+J153+J156+J158+J160+J163+J167+J171+J175+J178+J181+J185+J189+J193+J196+J199+J201+J204+J208+J212+J215+J218+J221+J224+J227+J229+J231</f>
        <v>394581.7149999999</v>
      </c>
    </row>
    <row r="108" spans="1:10" ht="12.75" hidden="1">
      <c r="A108" s="189"/>
      <c r="B108" s="263" t="s">
        <v>5</v>
      </c>
      <c r="C108" s="142" t="s">
        <v>284</v>
      </c>
      <c r="D108" s="264" t="s">
        <v>3</v>
      </c>
      <c r="E108" s="264" t="s">
        <v>3</v>
      </c>
      <c r="F108" s="141" t="s">
        <v>285</v>
      </c>
      <c r="G108" s="31">
        <f>SUM(G109:G111)</f>
        <v>0</v>
      </c>
      <c r="H108" s="31">
        <f>SUM(H109:H111)</f>
        <v>72225.643</v>
      </c>
      <c r="I108" s="258">
        <f>SUM(I109:I111)</f>
        <v>0</v>
      </c>
      <c r="J108" s="31">
        <f>SUM(J109:J111)</f>
        <v>72225.643</v>
      </c>
    </row>
    <row r="109" spans="1:10" ht="12.75" hidden="1">
      <c r="A109" s="189"/>
      <c r="B109" s="306"/>
      <c r="C109" s="307"/>
      <c r="D109" s="267">
        <v>2212</v>
      </c>
      <c r="E109" s="308">
        <v>5901</v>
      </c>
      <c r="F109" s="309" t="s">
        <v>196</v>
      </c>
      <c r="G109" s="310">
        <v>0</v>
      </c>
      <c r="H109" s="311">
        <f>30000+578.582+40922.092</f>
        <v>71500.674</v>
      </c>
      <c r="I109" s="312"/>
      <c r="J109" s="34">
        <f>H109+I109</f>
        <v>71500.674</v>
      </c>
    </row>
    <row r="110" spans="1:10" ht="12.75" hidden="1">
      <c r="A110" s="189"/>
      <c r="B110" s="313"/>
      <c r="C110" s="314" t="s">
        <v>286</v>
      </c>
      <c r="D110" s="267">
        <v>2212</v>
      </c>
      <c r="E110" s="308">
        <v>5901</v>
      </c>
      <c r="F110" s="309" t="s">
        <v>196</v>
      </c>
      <c r="G110" s="310">
        <v>0</v>
      </c>
      <c r="H110" s="34">
        <f>76000-6998.371-68276.66</f>
        <v>724.9689999999973</v>
      </c>
      <c r="I110" s="312"/>
      <c r="J110" s="34">
        <f>H110+I110</f>
        <v>724.9689999999973</v>
      </c>
    </row>
    <row r="111" spans="1:10" ht="13.5" hidden="1" thickBot="1">
      <c r="A111" s="189"/>
      <c r="B111" s="313"/>
      <c r="C111" s="315" t="s">
        <v>287</v>
      </c>
      <c r="D111" s="138">
        <v>2212</v>
      </c>
      <c r="E111" s="140">
        <v>6901</v>
      </c>
      <c r="F111" s="292" t="s">
        <v>204</v>
      </c>
      <c r="G111" s="316">
        <v>0</v>
      </c>
      <c r="H111" s="311">
        <f>46355-32083.641-14271.359</f>
        <v>0</v>
      </c>
      <c r="I111" s="312"/>
      <c r="J111" s="91">
        <f>H111+I111</f>
        <v>0</v>
      </c>
    </row>
    <row r="112" spans="1:10" ht="12.75" customHeight="1" hidden="1">
      <c r="A112" s="189"/>
      <c r="B112" s="263" t="s">
        <v>5</v>
      </c>
      <c r="C112" s="249" t="s">
        <v>288</v>
      </c>
      <c r="D112" s="264" t="s">
        <v>3</v>
      </c>
      <c r="E112" s="264" t="s">
        <v>3</v>
      </c>
      <c r="F112" s="141" t="s">
        <v>289</v>
      </c>
      <c r="G112" s="31">
        <f>SUM(G113:G113)</f>
        <v>11631</v>
      </c>
      <c r="H112" s="31">
        <f>SUM(H113:H113)</f>
        <v>8842.52</v>
      </c>
      <c r="I112" s="258">
        <f>SUM(I113:I113)</f>
        <v>0</v>
      </c>
      <c r="J112" s="31">
        <f>SUM(J113:J113)</f>
        <v>8842.52</v>
      </c>
    </row>
    <row r="113" spans="1:11" ht="12.75" customHeight="1" hidden="1" thickBot="1">
      <c r="A113" s="189"/>
      <c r="B113" s="283"/>
      <c r="C113" s="284"/>
      <c r="D113" s="285">
        <v>2212</v>
      </c>
      <c r="E113" s="297">
        <v>6121</v>
      </c>
      <c r="F113" s="298" t="s">
        <v>290</v>
      </c>
      <c r="G113" s="32">
        <v>11631</v>
      </c>
      <c r="H113" s="32">
        <f>11631+29+14.4-2831.88</f>
        <v>8842.52</v>
      </c>
      <c r="I113" s="247"/>
      <c r="J113" s="91">
        <f>H113+I113</f>
        <v>8842.52</v>
      </c>
      <c r="K113" s="282"/>
    </row>
    <row r="114" spans="1:10" ht="12.75" customHeight="1" hidden="1">
      <c r="A114" s="189"/>
      <c r="B114" s="263" t="s">
        <v>5</v>
      </c>
      <c r="C114" s="249" t="s">
        <v>291</v>
      </c>
      <c r="D114" s="264" t="s">
        <v>3</v>
      </c>
      <c r="E114" s="264" t="s">
        <v>3</v>
      </c>
      <c r="F114" s="141" t="s">
        <v>292</v>
      </c>
      <c r="G114" s="31">
        <f>SUM(G115:G115)</f>
        <v>0</v>
      </c>
      <c r="H114" s="31">
        <f>SUM(H115:H115)</f>
        <v>16960.4</v>
      </c>
      <c r="I114" s="258">
        <f>SUM(I115:I115)</f>
        <v>0</v>
      </c>
      <c r="J114" s="31">
        <f>SUM(J115:J115)</f>
        <v>16960.4</v>
      </c>
    </row>
    <row r="115" spans="1:10" ht="12.75" customHeight="1" hidden="1" thickBot="1">
      <c r="A115" s="189"/>
      <c r="B115" s="293"/>
      <c r="C115" s="284"/>
      <c r="D115" s="285">
        <v>2212</v>
      </c>
      <c r="E115" s="267">
        <v>6121</v>
      </c>
      <c r="F115" s="288" t="s">
        <v>210</v>
      </c>
      <c r="G115" s="273">
        <v>0</v>
      </c>
      <c r="H115" s="91">
        <f>16524.97+318.23+96.8+20.4</f>
        <v>16960.4</v>
      </c>
      <c r="I115" s="247"/>
      <c r="J115" s="91">
        <f>H115+I115</f>
        <v>16960.4</v>
      </c>
    </row>
    <row r="116" spans="1:10" ht="12.75" customHeight="1" hidden="1">
      <c r="A116" s="189"/>
      <c r="B116" s="263" t="s">
        <v>5</v>
      </c>
      <c r="C116" s="249" t="s">
        <v>293</v>
      </c>
      <c r="D116" s="264" t="s">
        <v>3</v>
      </c>
      <c r="E116" s="264" t="s">
        <v>3</v>
      </c>
      <c r="F116" s="141" t="s">
        <v>294</v>
      </c>
      <c r="G116" s="137">
        <f>SUM(G117:G118)</f>
        <v>35724</v>
      </c>
      <c r="H116" s="137">
        <f>SUM(H117:H118)</f>
        <v>27063.922</v>
      </c>
      <c r="I116" s="241">
        <f>SUM(I117:I118)</f>
        <v>0</v>
      </c>
      <c r="J116" s="137">
        <f>SUM(J117:J118)</f>
        <v>27063.922</v>
      </c>
    </row>
    <row r="117" spans="1:10" ht="12.75" customHeight="1" hidden="1">
      <c r="A117" s="189"/>
      <c r="B117" s="265"/>
      <c r="C117" s="260"/>
      <c r="D117" s="267">
        <v>2212</v>
      </c>
      <c r="E117" s="261">
        <v>6121</v>
      </c>
      <c r="F117" s="288" t="s">
        <v>290</v>
      </c>
      <c r="G117" s="34">
        <v>35724</v>
      </c>
      <c r="H117" s="34">
        <f>35724-8779.078-26944.922+23+96</f>
        <v>119</v>
      </c>
      <c r="I117" s="290"/>
      <c r="J117" s="65">
        <f>H117+I117</f>
        <v>119</v>
      </c>
    </row>
    <row r="118" spans="1:10" ht="13.5" hidden="1" thickBot="1">
      <c r="A118" s="189"/>
      <c r="B118" s="317"/>
      <c r="C118" s="318" t="s">
        <v>287</v>
      </c>
      <c r="D118" s="319">
        <v>2212</v>
      </c>
      <c r="E118" s="319">
        <v>6121</v>
      </c>
      <c r="F118" s="300" t="s">
        <v>210</v>
      </c>
      <c r="G118" s="33">
        <v>0</v>
      </c>
      <c r="H118" s="33">
        <v>26944.922</v>
      </c>
      <c r="I118" s="276"/>
      <c r="J118" s="33">
        <f>H118+I118</f>
        <v>26944.922</v>
      </c>
    </row>
    <row r="119" spans="1:10" ht="12.75" hidden="1">
      <c r="A119" s="189"/>
      <c r="B119" s="263" t="s">
        <v>5</v>
      </c>
      <c r="C119" s="249" t="s">
        <v>295</v>
      </c>
      <c r="D119" s="264" t="s">
        <v>3</v>
      </c>
      <c r="E119" s="264" t="s">
        <v>3</v>
      </c>
      <c r="F119" s="141" t="s">
        <v>296</v>
      </c>
      <c r="G119" s="31">
        <f>G120</f>
        <v>24280</v>
      </c>
      <c r="H119" s="31">
        <f>H120</f>
        <v>66.4</v>
      </c>
      <c r="I119" s="258">
        <f>SUM(I120:I120)</f>
        <v>0</v>
      </c>
      <c r="J119" s="31">
        <f>SUM(J120:J120)</f>
        <v>66.4</v>
      </c>
    </row>
    <row r="120" spans="1:10" ht="13.5" hidden="1" thickBot="1">
      <c r="A120" s="189"/>
      <c r="B120" s="283"/>
      <c r="C120" s="284"/>
      <c r="D120" s="285">
        <v>2212</v>
      </c>
      <c r="E120" s="297">
        <v>6121</v>
      </c>
      <c r="F120" s="298" t="s">
        <v>290</v>
      </c>
      <c r="G120" s="32">
        <v>24280</v>
      </c>
      <c r="H120" s="32">
        <f>24280-24280+18+48.4</f>
        <v>66.4</v>
      </c>
      <c r="I120" s="247"/>
      <c r="J120" s="91">
        <f>H120+I120</f>
        <v>66.4</v>
      </c>
    </row>
    <row r="121" spans="1:10" ht="12.75" hidden="1">
      <c r="A121" s="189"/>
      <c r="B121" s="263" t="s">
        <v>5</v>
      </c>
      <c r="C121" s="249" t="s">
        <v>297</v>
      </c>
      <c r="D121" s="264" t="s">
        <v>3</v>
      </c>
      <c r="E121" s="264" t="s">
        <v>3</v>
      </c>
      <c r="F121" s="141" t="s">
        <v>298</v>
      </c>
      <c r="G121" s="31">
        <f>SUM(G122:G123)</f>
        <v>0</v>
      </c>
      <c r="H121" s="31">
        <f>SUM(H122:H123)</f>
        <v>3023.249</v>
      </c>
      <c r="I121" s="258">
        <f>SUM(I122:I123)</f>
        <v>0</v>
      </c>
      <c r="J121" s="31">
        <f>SUM(J122:J123)</f>
        <v>3023.249</v>
      </c>
    </row>
    <row r="122" spans="1:10" ht="12.75" hidden="1">
      <c r="A122" s="189"/>
      <c r="B122" s="265"/>
      <c r="C122" s="266"/>
      <c r="D122" s="267">
        <v>2212</v>
      </c>
      <c r="E122" s="267">
        <v>5169</v>
      </c>
      <c r="F122" s="302" t="s">
        <v>49</v>
      </c>
      <c r="G122" s="65">
        <v>0</v>
      </c>
      <c r="H122" s="34">
        <f>37.52+15.618</f>
        <v>53.138000000000005</v>
      </c>
      <c r="I122" s="304"/>
      <c r="J122" s="65">
        <f>H122+I122</f>
        <v>53.138000000000005</v>
      </c>
    </row>
    <row r="123" spans="1:10" ht="13.5" hidden="1" thickBot="1">
      <c r="A123" s="189"/>
      <c r="B123" s="265"/>
      <c r="C123" s="260"/>
      <c r="D123" s="267">
        <v>2212</v>
      </c>
      <c r="E123" s="261">
        <v>5171</v>
      </c>
      <c r="F123" s="288" t="s">
        <v>218</v>
      </c>
      <c r="G123" s="34">
        <v>0</v>
      </c>
      <c r="H123" s="320">
        <f>3371-400.889</f>
        <v>2970.111</v>
      </c>
      <c r="I123" s="247"/>
      <c r="J123" s="290">
        <f>H123+I123</f>
        <v>2970.111</v>
      </c>
    </row>
    <row r="124" spans="1:10" ht="12.75" hidden="1">
      <c r="A124" s="189"/>
      <c r="B124" s="263" t="s">
        <v>5</v>
      </c>
      <c r="C124" s="249" t="s">
        <v>299</v>
      </c>
      <c r="D124" s="264" t="s">
        <v>3</v>
      </c>
      <c r="E124" s="264" t="s">
        <v>3</v>
      </c>
      <c r="F124" s="141" t="s">
        <v>300</v>
      </c>
      <c r="G124" s="31">
        <f>G125</f>
        <v>8339</v>
      </c>
      <c r="H124" s="31">
        <f>H125</f>
        <v>6729.1759999999995</v>
      </c>
      <c r="I124" s="258">
        <f>SUM(I125:I125)</f>
        <v>0</v>
      </c>
      <c r="J124" s="31">
        <f>SUM(J125:J125)</f>
        <v>6729.1759999999995</v>
      </c>
    </row>
    <row r="125" spans="1:10" ht="13.5" hidden="1" thickBot="1">
      <c r="A125" s="189"/>
      <c r="B125" s="283"/>
      <c r="C125" s="284"/>
      <c r="D125" s="285">
        <v>2212</v>
      </c>
      <c r="E125" s="297">
        <v>6121</v>
      </c>
      <c r="F125" s="298" t="s">
        <v>290</v>
      </c>
      <c r="G125" s="32">
        <v>8339</v>
      </c>
      <c r="H125" s="32">
        <f>8339-1686.824+60.5+16.5</f>
        <v>6729.1759999999995</v>
      </c>
      <c r="I125" s="247"/>
      <c r="J125" s="91">
        <f>H125+I125</f>
        <v>6729.1759999999995</v>
      </c>
    </row>
    <row r="126" spans="1:10" ht="12.75" hidden="1">
      <c r="A126" s="189"/>
      <c r="B126" s="263" t="s">
        <v>5</v>
      </c>
      <c r="C126" s="249" t="s">
        <v>301</v>
      </c>
      <c r="D126" s="264" t="s">
        <v>3</v>
      </c>
      <c r="E126" s="264" t="s">
        <v>3</v>
      </c>
      <c r="F126" s="141" t="s">
        <v>302</v>
      </c>
      <c r="G126" s="31">
        <f>G127</f>
        <v>1089</v>
      </c>
      <c r="H126" s="31">
        <f>H127</f>
        <v>0</v>
      </c>
      <c r="I126" s="258">
        <f>SUM(I127:I127)</f>
        <v>0</v>
      </c>
      <c r="J126" s="31">
        <f>SUM(J127:J127)</f>
        <v>0</v>
      </c>
    </row>
    <row r="127" spans="1:10" ht="13.5" hidden="1" thickBot="1">
      <c r="A127" s="189"/>
      <c r="B127" s="293"/>
      <c r="C127" s="284"/>
      <c r="D127" s="285">
        <v>2212</v>
      </c>
      <c r="E127" s="297">
        <v>5171</v>
      </c>
      <c r="F127" s="298" t="s">
        <v>218</v>
      </c>
      <c r="G127" s="273">
        <v>1089</v>
      </c>
      <c r="H127" s="273">
        <f>1089-1089</f>
        <v>0</v>
      </c>
      <c r="I127" s="247"/>
      <c r="J127" s="91">
        <f>H127+I127</f>
        <v>0</v>
      </c>
    </row>
    <row r="128" spans="1:10" ht="12.75" hidden="1">
      <c r="A128" s="189"/>
      <c r="B128" s="263" t="s">
        <v>5</v>
      </c>
      <c r="C128" s="249" t="s">
        <v>303</v>
      </c>
      <c r="D128" s="264" t="s">
        <v>3</v>
      </c>
      <c r="E128" s="264" t="s">
        <v>3</v>
      </c>
      <c r="F128" s="141" t="s">
        <v>304</v>
      </c>
      <c r="G128" s="137">
        <f>SUM(G129:G130)</f>
        <v>0</v>
      </c>
      <c r="H128" s="137">
        <f>SUM(H129:H130)</f>
        <v>2771.337</v>
      </c>
      <c r="I128" s="241">
        <f>SUM(I129:I130)</f>
        <v>0</v>
      </c>
      <c r="J128" s="137">
        <f>SUM(J129:J130)</f>
        <v>2771.337</v>
      </c>
    </row>
    <row r="129" spans="1:10" ht="12.75" hidden="1">
      <c r="A129" s="189"/>
      <c r="B129" s="265"/>
      <c r="C129" s="266"/>
      <c r="D129" s="267">
        <v>2212</v>
      </c>
      <c r="E129" s="267">
        <v>6121</v>
      </c>
      <c r="F129" s="288" t="s">
        <v>210</v>
      </c>
      <c r="G129" s="65">
        <v>0</v>
      </c>
      <c r="H129" s="65">
        <f>2725.337-2725.337+30+16</f>
        <v>46</v>
      </c>
      <c r="I129" s="290"/>
      <c r="J129" s="65">
        <f>H129+I129</f>
        <v>46</v>
      </c>
    </row>
    <row r="130" spans="1:10" ht="13.5" hidden="1" thickBot="1">
      <c r="A130" s="189"/>
      <c r="B130" s="317"/>
      <c r="C130" s="318" t="s">
        <v>287</v>
      </c>
      <c r="D130" s="319">
        <v>2212</v>
      </c>
      <c r="E130" s="319">
        <v>6121</v>
      </c>
      <c r="F130" s="300" t="s">
        <v>210</v>
      </c>
      <c r="G130" s="33">
        <v>0</v>
      </c>
      <c r="H130" s="33">
        <v>2725.337</v>
      </c>
      <c r="I130" s="276"/>
      <c r="J130" s="33">
        <f>H130+I130</f>
        <v>2725.337</v>
      </c>
    </row>
    <row r="131" spans="1:10" ht="12.75" hidden="1">
      <c r="A131" s="189"/>
      <c r="B131" s="263" t="s">
        <v>5</v>
      </c>
      <c r="C131" s="249" t="s">
        <v>305</v>
      </c>
      <c r="D131" s="264" t="s">
        <v>3</v>
      </c>
      <c r="E131" s="264" t="s">
        <v>3</v>
      </c>
      <c r="F131" s="141" t="s">
        <v>306</v>
      </c>
      <c r="G131" s="137">
        <f>SUM(G132:G132)</f>
        <v>0</v>
      </c>
      <c r="H131" s="31">
        <f>SUM(H132:H132)</f>
        <v>2488.5339999999997</v>
      </c>
      <c r="I131" s="258">
        <f>SUM(I132:I132)</f>
        <v>0</v>
      </c>
      <c r="J131" s="31">
        <f>SUM(J132:J132)</f>
        <v>2488.5339999999997</v>
      </c>
    </row>
    <row r="132" spans="1:10" ht="13.5" hidden="1" thickBot="1">
      <c r="A132" s="189"/>
      <c r="B132" s="293"/>
      <c r="C132" s="299"/>
      <c r="D132" s="285">
        <v>2212</v>
      </c>
      <c r="E132" s="138">
        <v>6121</v>
      </c>
      <c r="F132" s="300" t="s">
        <v>210</v>
      </c>
      <c r="G132" s="91">
        <v>0</v>
      </c>
      <c r="H132" s="91">
        <f>15+57.566+2415.968</f>
        <v>2488.5339999999997</v>
      </c>
      <c r="I132" s="247"/>
      <c r="J132" s="91">
        <f>H132+I132</f>
        <v>2488.5339999999997</v>
      </c>
    </row>
    <row r="133" spans="1:10" ht="12.75" hidden="1">
      <c r="A133" s="189"/>
      <c r="B133" s="263" t="s">
        <v>5</v>
      </c>
      <c r="C133" s="249" t="s">
        <v>307</v>
      </c>
      <c r="D133" s="264" t="s">
        <v>3</v>
      </c>
      <c r="E133" s="264" t="s">
        <v>3</v>
      </c>
      <c r="F133" s="141" t="s">
        <v>308</v>
      </c>
      <c r="G133" s="137">
        <f>SUM(G134:G134)</f>
        <v>0</v>
      </c>
      <c r="H133" s="31">
        <f>SUM(H134:H134)</f>
        <v>9965.099</v>
      </c>
      <c r="I133" s="258">
        <f>SUM(I134:I134)</f>
        <v>0</v>
      </c>
      <c r="J133" s="31">
        <f>SUM(J134:J134)</f>
        <v>9965.099</v>
      </c>
    </row>
    <row r="134" spans="1:10" ht="13.5" hidden="1" thickBot="1">
      <c r="A134" s="189"/>
      <c r="B134" s="303"/>
      <c r="C134" s="299"/>
      <c r="D134" s="285">
        <v>2212</v>
      </c>
      <c r="E134" s="285">
        <v>6121</v>
      </c>
      <c r="F134" s="298" t="s">
        <v>210</v>
      </c>
      <c r="G134" s="91">
        <v>0</v>
      </c>
      <c r="H134" s="91">
        <f>9906.599+42.5+16</f>
        <v>9965.099</v>
      </c>
      <c r="I134" s="247"/>
      <c r="J134" s="91">
        <f>H134+I134</f>
        <v>9965.099</v>
      </c>
    </row>
    <row r="135" spans="1:10" ht="12.75" hidden="1">
      <c r="A135" s="189"/>
      <c r="B135" s="263" t="s">
        <v>5</v>
      </c>
      <c r="C135" s="249" t="s">
        <v>309</v>
      </c>
      <c r="D135" s="264" t="s">
        <v>3</v>
      </c>
      <c r="E135" s="264" t="s">
        <v>3</v>
      </c>
      <c r="F135" s="141" t="s">
        <v>310</v>
      </c>
      <c r="G135" s="137">
        <f>SUM(G136:G136)</f>
        <v>0</v>
      </c>
      <c r="H135" s="31">
        <f>SUM(H136:H136)</f>
        <v>6545.409</v>
      </c>
      <c r="I135" s="258">
        <f>SUM(I136:I136)</f>
        <v>0</v>
      </c>
      <c r="J135" s="31">
        <f>SUM(J136:J136)</f>
        <v>6545.409</v>
      </c>
    </row>
    <row r="136" spans="1:10" ht="13.5" hidden="1" thickBot="1">
      <c r="A136" s="189"/>
      <c r="B136" s="293"/>
      <c r="C136" s="299"/>
      <c r="D136" s="285">
        <v>2212</v>
      </c>
      <c r="E136" s="138">
        <v>6121</v>
      </c>
      <c r="F136" s="300" t="s">
        <v>210</v>
      </c>
      <c r="G136" s="91">
        <v>0</v>
      </c>
      <c r="H136" s="91">
        <f>20.5+14.4+6510.509</f>
        <v>6545.409</v>
      </c>
      <c r="I136" s="247"/>
      <c r="J136" s="91">
        <f>H136+I136</f>
        <v>6545.409</v>
      </c>
    </row>
    <row r="137" spans="1:10" ht="12.75" hidden="1">
      <c r="A137" s="189"/>
      <c r="B137" s="263" t="s">
        <v>5</v>
      </c>
      <c r="C137" s="249" t="s">
        <v>311</v>
      </c>
      <c r="D137" s="264" t="s">
        <v>3</v>
      </c>
      <c r="E137" s="264" t="s">
        <v>3</v>
      </c>
      <c r="F137" s="141" t="s">
        <v>312</v>
      </c>
      <c r="G137" s="137">
        <f>SUM(G138:G138)</f>
        <v>0</v>
      </c>
      <c r="H137" s="31">
        <f>SUM(H138:H138)</f>
        <v>9625.908</v>
      </c>
      <c r="I137" s="258">
        <f>SUM(I138:I138)</f>
        <v>0</v>
      </c>
      <c r="J137" s="31">
        <f>SUM(J138:J138)</f>
        <v>9625.908</v>
      </c>
    </row>
    <row r="138" spans="1:10" ht="13.5" hidden="1" thickBot="1">
      <c r="A138" s="189"/>
      <c r="B138" s="293"/>
      <c r="C138" s="299"/>
      <c r="D138" s="285">
        <v>2212</v>
      </c>
      <c r="E138" s="138">
        <v>6121</v>
      </c>
      <c r="F138" s="300" t="s">
        <v>210</v>
      </c>
      <c r="G138" s="91">
        <v>0</v>
      </c>
      <c r="H138" s="91">
        <f>55.66+18+9552.248</f>
        <v>9625.908</v>
      </c>
      <c r="I138" s="276"/>
      <c r="J138" s="91">
        <f>H138+I138</f>
        <v>9625.908</v>
      </c>
    </row>
    <row r="139" spans="1:10" ht="12.75" hidden="1">
      <c r="A139" s="189"/>
      <c r="B139" s="263" t="s">
        <v>5</v>
      </c>
      <c r="C139" s="249" t="s">
        <v>313</v>
      </c>
      <c r="D139" s="264" t="s">
        <v>3</v>
      </c>
      <c r="E139" s="264" t="s">
        <v>3</v>
      </c>
      <c r="F139" s="141" t="s">
        <v>314</v>
      </c>
      <c r="G139" s="137">
        <f>SUM(G140:G141)</f>
        <v>0</v>
      </c>
      <c r="H139" s="137">
        <f>SUM(H140:H141)</f>
        <v>1096.694</v>
      </c>
      <c r="I139" s="241">
        <f>SUM(I140:I141)</f>
        <v>0</v>
      </c>
      <c r="J139" s="137">
        <f>SUM(J140:J141)</f>
        <v>1096.694</v>
      </c>
    </row>
    <row r="140" spans="1:10" ht="12.75" hidden="1">
      <c r="A140" s="189"/>
      <c r="B140" s="265"/>
      <c r="C140" s="266"/>
      <c r="D140" s="267">
        <v>2212</v>
      </c>
      <c r="E140" s="267">
        <v>6121</v>
      </c>
      <c r="F140" s="288" t="s">
        <v>210</v>
      </c>
      <c r="G140" s="65">
        <v>0</v>
      </c>
      <c r="H140" s="65">
        <f>1064.994-1064.994+24.2+7.5</f>
        <v>31.7</v>
      </c>
      <c r="I140" s="290"/>
      <c r="J140" s="65">
        <f>H140+I140</f>
        <v>31.7</v>
      </c>
    </row>
    <row r="141" spans="1:10" ht="13.5" hidden="1" thickBot="1">
      <c r="A141" s="189"/>
      <c r="B141" s="317"/>
      <c r="C141" s="318" t="s">
        <v>287</v>
      </c>
      <c r="D141" s="319">
        <v>2212</v>
      </c>
      <c r="E141" s="319">
        <v>6121</v>
      </c>
      <c r="F141" s="300" t="s">
        <v>210</v>
      </c>
      <c r="G141" s="33">
        <v>0</v>
      </c>
      <c r="H141" s="33">
        <v>1064.994</v>
      </c>
      <c r="I141" s="276"/>
      <c r="J141" s="33">
        <f>H141+I141</f>
        <v>1064.994</v>
      </c>
    </row>
    <row r="142" spans="1:10" ht="12.75" hidden="1">
      <c r="A142" s="189"/>
      <c r="B142" s="263" t="s">
        <v>5</v>
      </c>
      <c r="C142" s="249" t="s">
        <v>315</v>
      </c>
      <c r="D142" s="264" t="s">
        <v>3</v>
      </c>
      <c r="E142" s="264" t="s">
        <v>3</v>
      </c>
      <c r="F142" s="141" t="s">
        <v>316</v>
      </c>
      <c r="G142" s="137">
        <f>SUM(G143:G143)</f>
        <v>0</v>
      </c>
      <c r="H142" s="31">
        <f>SUM(H143:H143)</f>
        <v>44478.026</v>
      </c>
      <c r="I142" s="258">
        <f>SUM(I143:I143)</f>
        <v>0</v>
      </c>
      <c r="J142" s="31">
        <f>SUM(J143:J143)</f>
        <v>44478.026</v>
      </c>
    </row>
    <row r="143" spans="1:10" ht="13.5" hidden="1" thickBot="1">
      <c r="A143" s="189"/>
      <c r="B143" s="293"/>
      <c r="C143" s="299"/>
      <c r="D143" s="285">
        <v>2212</v>
      </c>
      <c r="E143" s="285">
        <v>6121</v>
      </c>
      <c r="F143" s="298" t="s">
        <v>210</v>
      </c>
      <c r="G143" s="91">
        <v>0</v>
      </c>
      <c r="H143" s="91">
        <f>44379.926+25.5+72.6</f>
        <v>44478.026</v>
      </c>
      <c r="I143" s="247"/>
      <c r="J143" s="91">
        <f>H143+I143</f>
        <v>44478.026</v>
      </c>
    </row>
    <row r="144" spans="1:10" ht="12.75" hidden="1">
      <c r="A144" s="189"/>
      <c r="B144" s="263" t="s">
        <v>5</v>
      </c>
      <c r="C144" s="249" t="s">
        <v>317</v>
      </c>
      <c r="D144" s="264" t="s">
        <v>3</v>
      </c>
      <c r="E144" s="264" t="s">
        <v>3</v>
      </c>
      <c r="F144" s="141" t="s">
        <v>318</v>
      </c>
      <c r="G144" s="137">
        <f>SUM(G145:G145)</f>
        <v>0</v>
      </c>
      <c r="H144" s="31">
        <f>SUM(H145:H145)</f>
        <v>9013.595</v>
      </c>
      <c r="I144" s="258">
        <f>SUM(I145:I145)</f>
        <v>0</v>
      </c>
      <c r="J144" s="31">
        <f>SUM(J145:J145)</f>
        <v>9013.595</v>
      </c>
    </row>
    <row r="145" spans="1:10" ht="13.5" hidden="1" thickBot="1">
      <c r="A145" s="189"/>
      <c r="B145" s="293"/>
      <c r="C145" s="299"/>
      <c r="D145" s="285">
        <v>2212</v>
      </c>
      <c r="E145" s="138">
        <v>6121</v>
      </c>
      <c r="F145" s="300" t="s">
        <v>210</v>
      </c>
      <c r="G145" s="91">
        <v>0</v>
      </c>
      <c r="H145" s="91">
        <f>8909.535+58.08+45.98</f>
        <v>9013.595</v>
      </c>
      <c r="I145" s="247"/>
      <c r="J145" s="91">
        <f>H145+I145</f>
        <v>9013.595</v>
      </c>
    </row>
    <row r="146" spans="1:10" ht="12.75" hidden="1">
      <c r="A146" s="189"/>
      <c r="B146" s="263" t="s">
        <v>5</v>
      </c>
      <c r="C146" s="249" t="s">
        <v>319</v>
      </c>
      <c r="D146" s="264" t="s">
        <v>3</v>
      </c>
      <c r="E146" s="264" t="s">
        <v>3</v>
      </c>
      <c r="F146" s="141" t="s">
        <v>320</v>
      </c>
      <c r="G146" s="31">
        <f>SUM(G147:G148)</f>
        <v>0</v>
      </c>
      <c r="H146" s="31">
        <f>SUM(H147:H148)</f>
        <v>1283.668</v>
      </c>
      <c r="I146" s="258">
        <f>SUM(I147:I148)</f>
        <v>0</v>
      </c>
      <c r="J146" s="31">
        <f>SUM(J147:J148)</f>
        <v>1283.668</v>
      </c>
    </row>
    <row r="147" spans="1:10" ht="12.75" hidden="1">
      <c r="A147" s="189"/>
      <c r="B147" s="265"/>
      <c r="C147" s="266"/>
      <c r="D147" s="267">
        <v>2212</v>
      </c>
      <c r="E147" s="267">
        <v>5169</v>
      </c>
      <c r="F147" s="302" t="s">
        <v>49</v>
      </c>
      <c r="G147" s="65">
        <v>0</v>
      </c>
      <c r="H147" s="65">
        <f>30.25+14.5+1238.918-1238.918</f>
        <v>44.75</v>
      </c>
      <c r="I147" s="290"/>
      <c r="J147" s="65">
        <f>H147+I147</f>
        <v>44.75</v>
      </c>
    </row>
    <row r="148" spans="1:10" ht="13.5" hidden="1" thickBot="1">
      <c r="A148" s="189"/>
      <c r="B148" s="283"/>
      <c r="C148" s="321"/>
      <c r="D148" s="138">
        <v>2212</v>
      </c>
      <c r="E148" s="319">
        <v>5171</v>
      </c>
      <c r="F148" s="300" t="s">
        <v>218</v>
      </c>
      <c r="G148" s="32">
        <v>0</v>
      </c>
      <c r="H148" s="65">
        <v>1238.918</v>
      </c>
      <c r="I148" s="290"/>
      <c r="J148" s="33">
        <f>H148+I148</f>
        <v>1238.918</v>
      </c>
    </row>
    <row r="149" spans="1:10" ht="12.75" hidden="1">
      <c r="A149" s="189"/>
      <c r="B149" s="263" t="s">
        <v>5</v>
      </c>
      <c r="C149" s="249" t="s">
        <v>321</v>
      </c>
      <c r="D149" s="264" t="s">
        <v>3</v>
      </c>
      <c r="E149" s="264" t="s">
        <v>3</v>
      </c>
      <c r="F149" s="141" t="s">
        <v>322</v>
      </c>
      <c r="G149" s="137">
        <f>SUM(G150:G150)</f>
        <v>0</v>
      </c>
      <c r="H149" s="31">
        <f>SUM(H150:H150)</f>
        <v>592.35</v>
      </c>
      <c r="I149" s="258">
        <f>SUM(I150:I150)</f>
        <v>0</v>
      </c>
      <c r="J149" s="31">
        <f>SUM(J150:J150)</f>
        <v>592.35</v>
      </c>
    </row>
    <row r="150" spans="1:10" ht="13.5" hidden="1" thickBot="1">
      <c r="A150" s="189"/>
      <c r="B150" s="293"/>
      <c r="C150" s="299"/>
      <c r="D150" s="285">
        <v>2212</v>
      </c>
      <c r="E150" s="138">
        <v>6121</v>
      </c>
      <c r="F150" s="300" t="s">
        <v>210</v>
      </c>
      <c r="G150" s="91">
        <v>0</v>
      </c>
      <c r="H150" s="91">
        <f>545.65+14+32.7</f>
        <v>592.35</v>
      </c>
      <c r="I150" s="247"/>
      <c r="J150" s="91">
        <f>H150+I150</f>
        <v>592.35</v>
      </c>
    </row>
    <row r="151" spans="1:10" ht="12.75" hidden="1">
      <c r="A151" s="189"/>
      <c r="B151" s="263" t="s">
        <v>5</v>
      </c>
      <c r="C151" s="249" t="s">
        <v>323</v>
      </c>
      <c r="D151" s="264" t="s">
        <v>3</v>
      </c>
      <c r="E151" s="264" t="s">
        <v>3</v>
      </c>
      <c r="F151" s="141" t="s">
        <v>324</v>
      </c>
      <c r="G151" s="137">
        <f>SUM(G152:G152)</f>
        <v>0</v>
      </c>
      <c r="H151" s="31">
        <f>SUM(H152:H152)</f>
        <v>58.56</v>
      </c>
      <c r="I151" s="258">
        <f>SUM(I152:I152)</f>
        <v>0</v>
      </c>
      <c r="J151" s="31">
        <f>SUM(J152:J152)</f>
        <v>58.56</v>
      </c>
    </row>
    <row r="152" spans="1:10" ht="13.5" hidden="1" thickBot="1">
      <c r="A152" s="189"/>
      <c r="B152" s="293"/>
      <c r="C152" s="299"/>
      <c r="D152" s="285">
        <v>2212</v>
      </c>
      <c r="E152" s="138">
        <v>6121</v>
      </c>
      <c r="F152" s="300" t="s">
        <v>210</v>
      </c>
      <c r="G152" s="91">
        <v>0</v>
      </c>
      <c r="H152" s="91">
        <f>43.56+15</f>
        <v>58.56</v>
      </c>
      <c r="I152" s="247"/>
      <c r="J152" s="91">
        <f>H152+I152</f>
        <v>58.56</v>
      </c>
    </row>
    <row r="153" spans="1:10" ht="12.75" hidden="1">
      <c r="A153" s="189"/>
      <c r="B153" s="263" t="s">
        <v>5</v>
      </c>
      <c r="C153" s="249" t="s">
        <v>325</v>
      </c>
      <c r="D153" s="264" t="s">
        <v>3</v>
      </c>
      <c r="E153" s="264" t="s">
        <v>3</v>
      </c>
      <c r="F153" s="141" t="s">
        <v>326</v>
      </c>
      <c r="G153" s="31">
        <f>SUM(G154:G155)</f>
        <v>0</v>
      </c>
      <c r="H153" s="31">
        <f>SUM(H154:H155)</f>
        <v>1396.3249999999998</v>
      </c>
      <c r="I153" s="258">
        <f>SUM(I154:I155)</f>
        <v>0</v>
      </c>
      <c r="J153" s="31">
        <f>SUM(J154:J155)</f>
        <v>1396.3249999999998</v>
      </c>
    </row>
    <row r="154" spans="1:10" ht="12.75" hidden="1">
      <c r="A154" s="189"/>
      <c r="B154" s="265"/>
      <c r="C154" s="266"/>
      <c r="D154" s="267">
        <v>2212</v>
      </c>
      <c r="E154" s="267">
        <v>6121</v>
      </c>
      <c r="F154" s="288" t="s">
        <v>210</v>
      </c>
      <c r="G154" s="65">
        <v>0</v>
      </c>
      <c r="H154" s="65">
        <f>1348.388-1348.388+12+35.937</f>
        <v>47.937</v>
      </c>
      <c r="I154" s="290"/>
      <c r="J154" s="65">
        <f>H154+I154</f>
        <v>47.937</v>
      </c>
    </row>
    <row r="155" spans="1:10" ht="13.5" hidden="1" thickBot="1">
      <c r="A155" s="189"/>
      <c r="B155" s="317"/>
      <c r="C155" s="318" t="s">
        <v>287</v>
      </c>
      <c r="D155" s="319">
        <v>2212</v>
      </c>
      <c r="E155" s="319">
        <v>6121</v>
      </c>
      <c r="F155" s="300" t="s">
        <v>210</v>
      </c>
      <c r="G155" s="33">
        <v>0</v>
      </c>
      <c r="H155" s="33">
        <v>1348.388</v>
      </c>
      <c r="I155" s="276"/>
      <c r="J155" s="33">
        <f>H155+I155</f>
        <v>1348.388</v>
      </c>
    </row>
    <row r="156" spans="1:10" ht="12.75" hidden="1">
      <c r="A156" s="189"/>
      <c r="B156" s="263" t="s">
        <v>5</v>
      </c>
      <c r="C156" s="249" t="s">
        <v>327</v>
      </c>
      <c r="D156" s="264" t="s">
        <v>3</v>
      </c>
      <c r="E156" s="264" t="s">
        <v>3</v>
      </c>
      <c r="F156" s="141" t="s">
        <v>328</v>
      </c>
      <c r="G156" s="137">
        <f>SUM(G157:G157)</f>
        <v>0</v>
      </c>
      <c r="H156" s="31">
        <f>SUM(H157:H157)</f>
        <v>2835.7419999999997</v>
      </c>
      <c r="I156" s="258">
        <f>SUM(I157:I157)</f>
        <v>0</v>
      </c>
      <c r="J156" s="31">
        <f>SUM(J157:J157)</f>
        <v>2835.7419999999997</v>
      </c>
    </row>
    <row r="157" spans="1:10" ht="13.5" hidden="1" thickBot="1">
      <c r="A157" s="189"/>
      <c r="B157" s="293"/>
      <c r="C157" s="299"/>
      <c r="D157" s="285">
        <v>2212</v>
      </c>
      <c r="E157" s="138">
        <v>6121</v>
      </c>
      <c r="F157" s="300" t="s">
        <v>210</v>
      </c>
      <c r="G157" s="91">
        <v>0</v>
      </c>
      <c r="H157" s="91">
        <f>2783.805+16+35.937</f>
        <v>2835.7419999999997</v>
      </c>
      <c r="I157" s="247"/>
      <c r="J157" s="91">
        <f>H157+I157</f>
        <v>2835.7419999999997</v>
      </c>
    </row>
    <row r="158" spans="1:10" ht="12.75" hidden="1">
      <c r="A158" s="189"/>
      <c r="B158" s="263" t="s">
        <v>5</v>
      </c>
      <c r="C158" s="249" t="s">
        <v>329</v>
      </c>
      <c r="D158" s="264" t="s">
        <v>3</v>
      </c>
      <c r="E158" s="264" t="s">
        <v>3</v>
      </c>
      <c r="F158" s="141" t="s">
        <v>330</v>
      </c>
      <c r="G158" s="31">
        <f>SUM(G159:G159)</f>
        <v>0</v>
      </c>
      <c r="H158" s="31">
        <f>SUM(H159:H159)</f>
        <v>1734.1779999999999</v>
      </c>
      <c r="I158" s="258">
        <f>SUM(I159:I159)</f>
        <v>0</v>
      </c>
      <c r="J158" s="31">
        <f>SUM(J159:J159)</f>
        <v>1734.1779999999999</v>
      </c>
    </row>
    <row r="159" spans="1:10" ht="13.5" hidden="1" thickBot="1">
      <c r="A159" s="189"/>
      <c r="B159" s="283"/>
      <c r="C159" s="254"/>
      <c r="D159" s="138">
        <v>2212</v>
      </c>
      <c r="E159" s="319">
        <v>6121</v>
      </c>
      <c r="F159" s="300" t="s">
        <v>210</v>
      </c>
      <c r="G159" s="33">
        <v>0</v>
      </c>
      <c r="H159" s="67">
        <f>1678.933+41.745+13.5</f>
        <v>1734.1779999999999</v>
      </c>
      <c r="I159" s="322"/>
      <c r="J159" s="33">
        <f>H159+I159</f>
        <v>1734.1779999999999</v>
      </c>
    </row>
    <row r="160" spans="1:10" ht="12.75" hidden="1">
      <c r="A160" s="189"/>
      <c r="B160" s="263" t="s">
        <v>5</v>
      </c>
      <c r="C160" s="249" t="s">
        <v>331</v>
      </c>
      <c r="D160" s="264" t="s">
        <v>3</v>
      </c>
      <c r="E160" s="264" t="s">
        <v>3</v>
      </c>
      <c r="F160" s="141" t="s">
        <v>332</v>
      </c>
      <c r="G160" s="31">
        <f>SUM(G161:G162)</f>
        <v>0</v>
      </c>
      <c r="H160" s="31">
        <f>SUM(H161:H162)</f>
        <v>7147.46</v>
      </c>
      <c r="I160" s="258">
        <f>SUM(I161:I162)</f>
        <v>0</v>
      </c>
      <c r="J160" s="31">
        <f>SUM(J161:J162)</f>
        <v>7147.46</v>
      </c>
    </row>
    <row r="161" spans="1:10" ht="12.75" hidden="1">
      <c r="A161" s="189"/>
      <c r="B161" s="265"/>
      <c r="C161" s="266"/>
      <c r="D161" s="267">
        <v>2212</v>
      </c>
      <c r="E161" s="267">
        <v>5169</v>
      </c>
      <c r="F161" s="302" t="s">
        <v>49</v>
      </c>
      <c r="G161" s="65">
        <v>0</v>
      </c>
      <c r="H161" s="65">
        <v>30.25</v>
      </c>
      <c r="I161" s="290"/>
      <c r="J161" s="65">
        <f>H161+I161</f>
        <v>30.25</v>
      </c>
    </row>
    <row r="162" spans="1:10" ht="13.5" hidden="1" thickBot="1">
      <c r="A162" s="189"/>
      <c r="B162" s="283"/>
      <c r="C162" s="254"/>
      <c r="D162" s="138">
        <v>2212</v>
      </c>
      <c r="E162" s="140">
        <v>5171</v>
      </c>
      <c r="F162" s="292" t="s">
        <v>218</v>
      </c>
      <c r="G162" s="33">
        <v>0</v>
      </c>
      <c r="H162" s="65">
        <v>7117.21</v>
      </c>
      <c r="I162" s="290"/>
      <c r="J162" s="33">
        <f>H162+I162</f>
        <v>7117.21</v>
      </c>
    </row>
    <row r="163" spans="1:10" ht="12.75" hidden="1">
      <c r="A163" s="189"/>
      <c r="B163" s="263" t="s">
        <v>5</v>
      </c>
      <c r="C163" s="249" t="s">
        <v>333</v>
      </c>
      <c r="D163" s="264" t="s">
        <v>3</v>
      </c>
      <c r="E163" s="264" t="s">
        <v>3</v>
      </c>
      <c r="F163" s="141" t="s">
        <v>334</v>
      </c>
      <c r="G163" s="31">
        <f>SUM(G164:G166)</f>
        <v>0</v>
      </c>
      <c r="H163" s="31">
        <f>SUM(H164:H166)</f>
        <v>8793.653</v>
      </c>
      <c r="I163" s="258">
        <f>SUM(I164:I166)</f>
        <v>0</v>
      </c>
      <c r="J163" s="31">
        <f>SUM(J164:J166)</f>
        <v>8793.653</v>
      </c>
    </row>
    <row r="164" spans="1:10" ht="12.75" hidden="1">
      <c r="A164" s="189"/>
      <c r="B164" s="265"/>
      <c r="C164" s="266"/>
      <c r="D164" s="267">
        <v>2212</v>
      </c>
      <c r="E164" s="267">
        <v>5169</v>
      </c>
      <c r="F164" s="302" t="s">
        <v>49</v>
      </c>
      <c r="G164" s="65">
        <v>0</v>
      </c>
      <c r="H164" s="65">
        <v>30.25</v>
      </c>
      <c r="I164" s="290"/>
      <c r="J164" s="65">
        <f>H164+I164</f>
        <v>30.25</v>
      </c>
    </row>
    <row r="165" spans="1:10" ht="12.75" hidden="1">
      <c r="A165" s="189"/>
      <c r="B165" s="265"/>
      <c r="C165" s="266"/>
      <c r="D165" s="267">
        <v>2212</v>
      </c>
      <c r="E165" s="308">
        <v>5171</v>
      </c>
      <c r="F165" s="309" t="s">
        <v>218</v>
      </c>
      <c r="G165" s="65">
        <v>0</v>
      </c>
      <c r="H165" s="65">
        <f>8763.403-8763.403</f>
        <v>0</v>
      </c>
      <c r="I165" s="290"/>
      <c r="J165" s="65">
        <f>H165+I165</f>
        <v>0</v>
      </c>
    </row>
    <row r="166" spans="1:10" ht="13.5" hidden="1" thickBot="1">
      <c r="A166" s="189"/>
      <c r="B166" s="317"/>
      <c r="C166" s="323" t="s">
        <v>286</v>
      </c>
      <c r="D166" s="319">
        <v>2212</v>
      </c>
      <c r="E166" s="324">
        <v>5171</v>
      </c>
      <c r="F166" s="325" t="s">
        <v>218</v>
      </c>
      <c r="G166" s="33">
        <v>0</v>
      </c>
      <c r="H166" s="65">
        <v>8763.403</v>
      </c>
      <c r="I166" s="290"/>
      <c r="J166" s="33">
        <f>H166+I166</f>
        <v>8763.403</v>
      </c>
    </row>
    <row r="167" spans="1:10" ht="12.75" hidden="1">
      <c r="A167" s="189"/>
      <c r="B167" s="263" t="s">
        <v>5</v>
      </c>
      <c r="C167" s="249" t="s">
        <v>335</v>
      </c>
      <c r="D167" s="264" t="s">
        <v>3</v>
      </c>
      <c r="E167" s="264" t="s">
        <v>3</v>
      </c>
      <c r="F167" s="141" t="s">
        <v>336</v>
      </c>
      <c r="G167" s="31">
        <f>SUM(G168:G170)</f>
        <v>0</v>
      </c>
      <c r="H167" s="31">
        <f>SUM(H168:H170)</f>
        <v>9706.625</v>
      </c>
      <c r="I167" s="258">
        <f>SUM(I168:I170)</f>
        <v>0</v>
      </c>
      <c r="J167" s="31">
        <f>SUM(J168:J170)</f>
        <v>9706.625</v>
      </c>
    </row>
    <row r="168" spans="1:10" ht="12.75" hidden="1">
      <c r="A168" s="189"/>
      <c r="B168" s="265"/>
      <c r="C168" s="266"/>
      <c r="D168" s="267">
        <v>2212</v>
      </c>
      <c r="E168" s="267">
        <v>5169</v>
      </c>
      <c r="F168" s="302" t="s">
        <v>49</v>
      </c>
      <c r="G168" s="65">
        <v>0</v>
      </c>
      <c r="H168" s="65">
        <v>30.25</v>
      </c>
      <c r="I168" s="290"/>
      <c r="J168" s="65">
        <f>H168+I168</f>
        <v>30.25</v>
      </c>
    </row>
    <row r="169" spans="1:10" ht="12.75" hidden="1">
      <c r="A169" s="189"/>
      <c r="B169" s="265"/>
      <c r="C169" s="266"/>
      <c r="D169" s="267">
        <v>2212</v>
      </c>
      <c r="E169" s="308">
        <v>5171</v>
      </c>
      <c r="F169" s="309" t="s">
        <v>218</v>
      </c>
      <c r="G169" s="65">
        <v>0</v>
      </c>
      <c r="H169" s="65">
        <f>9676.375-9676.375</f>
        <v>0</v>
      </c>
      <c r="I169" s="290"/>
      <c r="J169" s="65">
        <f>H169+I169</f>
        <v>0</v>
      </c>
    </row>
    <row r="170" spans="1:10" ht="13.5" hidden="1" thickBot="1">
      <c r="A170" s="189"/>
      <c r="B170" s="317"/>
      <c r="C170" s="323" t="s">
        <v>286</v>
      </c>
      <c r="D170" s="319">
        <v>2212</v>
      </c>
      <c r="E170" s="324">
        <v>5171</v>
      </c>
      <c r="F170" s="325" t="s">
        <v>218</v>
      </c>
      <c r="G170" s="33">
        <v>0</v>
      </c>
      <c r="H170" s="65">
        <v>9676.375</v>
      </c>
      <c r="I170" s="290"/>
      <c r="J170" s="33">
        <f>H170+I170</f>
        <v>9676.375</v>
      </c>
    </row>
    <row r="171" spans="1:10" ht="12.75" hidden="1">
      <c r="A171" s="189"/>
      <c r="B171" s="263" t="s">
        <v>5</v>
      </c>
      <c r="C171" s="249" t="s">
        <v>337</v>
      </c>
      <c r="D171" s="264" t="s">
        <v>3</v>
      </c>
      <c r="E171" s="264" t="s">
        <v>3</v>
      </c>
      <c r="F171" s="141" t="s">
        <v>338</v>
      </c>
      <c r="G171" s="31">
        <f>SUM(G172:G174)</f>
        <v>0</v>
      </c>
      <c r="H171" s="31">
        <f>SUM(H172:H174)</f>
        <v>568.961</v>
      </c>
      <c r="I171" s="258">
        <f>SUM(I172:I174)</f>
        <v>0</v>
      </c>
      <c r="J171" s="31">
        <f>SUM(J172:J174)</f>
        <v>568.961</v>
      </c>
    </row>
    <row r="172" spans="1:10" ht="12.75" hidden="1">
      <c r="A172" s="189"/>
      <c r="B172" s="265"/>
      <c r="C172" s="266"/>
      <c r="D172" s="267">
        <v>2212</v>
      </c>
      <c r="E172" s="267">
        <v>5169</v>
      </c>
      <c r="F172" s="302" t="s">
        <v>49</v>
      </c>
      <c r="G172" s="65">
        <v>0</v>
      </c>
      <c r="H172" s="65">
        <f>30.25+9</f>
        <v>39.25</v>
      </c>
      <c r="I172" s="290"/>
      <c r="J172" s="65">
        <f>H172+I172</f>
        <v>39.25</v>
      </c>
    </row>
    <row r="173" spans="1:10" ht="12.75" hidden="1">
      <c r="A173" s="189"/>
      <c r="B173" s="265"/>
      <c r="C173" s="266"/>
      <c r="D173" s="267">
        <v>2212</v>
      </c>
      <c r="E173" s="308">
        <v>5171</v>
      </c>
      <c r="F173" s="309" t="s">
        <v>218</v>
      </c>
      <c r="G173" s="65">
        <v>0</v>
      </c>
      <c r="H173" s="34">
        <f>529.711-529.711</f>
        <v>0</v>
      </c>
      <c r="I173" s="304"/>
      <c r="J173" s="65">
        <f>H173+I173</f>
        <v>0</v>
      </c>
    </row>
    <row r="174" spans="1:10" ht="13.5" hidden="1" thickBot="1">
      <c r="A174" s="189"/>
      <c r="B174" s="317"/>
      <c r="C174" s="323" t="s">
        <v>286</v>
      </c>
      <c r="D174" s="319">
        <v>2212</v>
      </c>
      <c r="E174" s="324">
        <v>5171</v>
      </c>
      <c r="F174" s="325" t="s">
        <v>218</v>
      </c>
      <c r="G174" s="33">
        <v>0</v>
      </c>
      <c r="H174" s="34">
        <v>529.711</v>
      </c>
      <c r="I174" s="304"/>
      <c r="J174" s="33">
        <f>H174+I174</f>
        <v>529.711</v>
      </c>
    </row>
    <row r="175" spans="1:10" ht="12.75" hidden="1">
      <c r="A175" s="189"/>
      <c r="B175" s="263" t="s">
        <v>5</v>
      </c>
      <c r="C175" s="249" t="s">
        <v>339</v>
      </c>
      <c r="D175" s="264" t="s">
        <v>3</v>
      </c>
      <c r="E175" s="264" t="s">
        <v>3</v>
      </c>
      <c r="F175" s="141" t="s">
        <v>340</v>
      </c>
      <c r="G175" s="31">
        <f>SUM(G176:G177)</f>
        <v>0</v>
      </c>
      <c r="H175" s="31">
        <f>SUM(H176:H177)</f>
        <v>561.95</v>
      </c>
      <c r="I175" s="258">
        <f>SUM(I176:I177)</f>
        <v>0</v>
      </c>
      <c r="J175" s="31">
        <f>SUM(J176:J177)</f>
        <v>561.95</v>
      </c>
    </row>
    <row r="176" spans="1:10" ht="12.75" hidden="1">
      <c r="A176" s="189"/>
      <c r="B176" s="265"/>
      <c r="C176" s="266"/>
      <c r="D176" s="267">
        <v>2212</v>
      </c>
      <c r="E176" s="267">
        <v>5169</v>
      </c>
      <c r="F176" s="302" t="s">
        <v>49</v>
      </c>
      <c r="G176" s="65">
        <v>0</v>
      </c>
      <c r="H176" s="65">
        <f>12+35.816</f>
        <v>47.816</v>
      </c>
      <c r="I176" s="290"/>
      <c r="J176" s="65">
        <f>H176+I176</f>
        <v>47.816</v>
      </c>
    </row>
    <row r="177" spans="1:10" ht="13.5" hidden="1" thickBot="1">
      <c r="A177" s="189"/>
      <c r="B177" s="283"/>
      <c r="C177" s="323" t="s">
        <v>286</v>
      </c>
      <c r="D177" s="138">
        <v>2212</v>
      </c>
      <c r="E177" s="140">
        <v>5171</v>
      </c>
      <c r="F177" s="292" t="s">
        <v>218</v>
      </c>
      <c r="G177" s="33">
        <v>0</v>
      </c>
      <c r="H177" s="65">
        <v>514.134</v>
      </c>
      <c r="I177" s="290"/>
      <c r="J177" s="33">
        <f>H177+I177</f>
        <v>514.134</v>
      </c>
    </row>
    <row r="178" spans="1:10" ht="12.75" hidden="1">
      <c r="A178" s="189"/>
      <c r="B178" s="263" t="s">
        <v>5</v>
      </c>
      <c r="C178" s="249" t="s">
        <v>341</v>
      </c>
      <c r="D178" s="264" t="s">
        <v>3</v>
      </c>
      <c r="E178" s="264" t="s">
        <v>3</v>
      </c>
      <c r="F178" s="141" t="s">
        <v>342</v>
      </c>
      <c r="G178" s="31">
        <f>SUM(G179:G180)</f>
        <v>0</v>
      </c>
      <c r="H178" s="31">
        <f>SUM(H179:H180)</f>
        <v>6468.66</v>
      </c>
      <c r="I178" s="258">
        <f>SUM(I179:I180)</f>
        <v>0</v>
      </c>
      <c r="J178" s="31">
        <f>SUM(J179:J180)</f>
        <v>6468.66</v>
      </c>
    </row>
    <row r="179" spans="1:10" ht="12.75" hidden="1">
      <c r="A179" s="189"/>
      <c r="B179" s="265"/>
      <c r="C179" s="266"/>
      <c r="D179" s="267">
        <v>2212</v>
      </c>
      <c r="E179" s="308">
        <v>5171</v>
      </c>
      <c r="F179" s="309" t="s">
        <v>218</v>
      </c>
      <c r="G179" s="65">
        <v>0</v>
      </c>
      <c r="H179" s="34">
        <f>6468.66-6468.66</f>
        <v>0</v>
      </c>
      <c r="I179" s="290"/>
      <c r="J179" s="65">
        <f>H179+I179</f>
        <v>0</v>
      </c>
    </row>
    <row r="180" spans="1:10" ht="13.5" hidden="1" thickBot="1">
      <c r="A180" s="189"/>
      <c r="B180" s="317"/>
      <c r="C180" s="323" t="s">
        <v>286</v>
      </c>
      <c r="D180" s="319">
        <v>2212</v>
      </c>
      <c r="E180" s="324">
        <v>5171</v>
      </c>
      <c r="F180" s="325" t="s">
        <v>218</v>
      </c>
      <c r="G180" s="33">
        <v>0</v>
      </c>
      <c r="H180" s="67">
        <v>6468.66</v>
      </c>
      <c r="I180" s="322"/>
      <c r="J180" s="33">
        <f>H180+I180</f>
        <v>6468.66</v>
      </c>
    </row>
    <row r="181" spans="1:10" ht="12.75" hidden="1">
      <c r="A181" s="189"/>
      <c r="B181" s="263" t="s">
        <v>5</v>
      </c>
      <c r="C181" s="249" t="s">
        <v>343</v>
      </c>
      <c r="D181" s="264" t="s">
        <v>3</v>
      </c>
      <c r="E181" s="264" t="s">
        <v>3</v>
      </c>
      <c r="F181" s="141" t="s">
        <v>344</v>
      </c>
      <c r="G181" s="31">
        <f>SUM(G182:G184)</f>
        <v>0</v>
      </c>
      <c r="H181" s="31">
        <f>SUM(H182:H184)</f>
        <v>2849.491</v>
      </c>
      <c r="I181" s="258">
        <f>SUM(I182:I184)</f>
        <v>0</v>
      </c>
      <c r="J181" s="31">
        <f>SUM(J182:J184)</f>
        <v>2849.491</v>
      </c>
    </row>
    <row r="182" spans="1:10" ht="12.75" hidden="1">
      <c r="A182" s="189"/>
      <c r="B182" s="265"/>
      <c r="C182" s="266"/>
      <c r="D182" s="267">
        <v>2212</v>
      </c>
      <c r="E182" s="267">
        <v>5169</v>
      </c>
      <c r="F182" s="309" t="s">
        <v>49</v>
      </c>
      <c r="G182" s="65">
        <v>0</v>
      </c>
      <c r="H182" s="65">
        <v>21.175</v>
      </c>
      <c r="I182" s="290"/>
      <c r="J182" s="65">
        <f>H182+I182</f>
        <v>21.175</v>
      </c>
    </row>
    <row r="183" spans="1:10" ht="12.75" hidden="1">
      <c r="A183" s="189"/>
      <c r="B183" s="265"/>
      <c r="C183" s="266"/>
      <c r="D183" s="267">
        <v>2212</v>
      </c>
      <c r="E183" s="308">
        <v>5171</v>
      </c>
      <c r="F183" s="309" t="s">
        <v>218</v>
      </c>
      <c r="G183" s="65">
        <v>0</v>
      </c>
      <c r="H183" s="65">
        <f>2828.316-2828.316</f>
        <v>0</v>
      </c>
      <c r="I183" s="290"/>
      <c r="J183" s="65">
        <f>H183+I183</f>
        <v>0</v>
      </c>
    </row>
    <row r="184" spans="1:10" ht="13.5" hidden="1" thickBot="1">
      <c r="A184" s="189"/>
      <c r="B184" s="317"/>
      <c r="C184" s="323" t="s">
        <v>286</v>
      </c>
      <c r="D184" s="319">
        <v>2212</v>
      </c>
      <c r="E184" s="324">
        <v>5171</v>
      </c>
      <c r="F184" s="325" t="s">
        <v>218</v>
      </c>
      <c r="G184" s="33">
        <v>0</v>
      </c>
      <c r="H184" s="65">
        <v>2828.316</v>
      </c>
      <c r="I184" s="290"/>
      <c r="J184" s="33">
        <f>H184+I184</f>
        <v>2828.316</v>
      </c>
    </row>
    <row r="185" spans="1:10" ht="12.75" hidden="1">
      <c r="A185" s="189"/>
      <c r="B185" s="263" t="s">
        <v>5</v>
      </c>
      <c r="C185" s="249" t="s">
        <v>345</v>
      </c>
      <c r="D185" s="264" t="s">
        <v>3</v>
      </c>
      <c r="E185" s="264" t="s">
        <v>3</v>
      </c>
      <c r="F185" s="141" t="s">
        <v>346</v>
      </c>
      <c r="G185" s="31">
        <f>SUM(G186:G188)</f>
        <v>0</v>
      </c>
      <c r="H185" s="31">
        <f>SUM(H186:H188)</f>
        <v>4058.739</v>
      </c>
      <c r="I185" s="258">
        <f>SUM(I186:I188)</f>
        <v>0</v>
      </c>
      <c r="J185" s="31">
        <f>SUM(J186:J188)</f>
        <v>4058.739</v>
      </c>
    </row>
    <row r="186" spans="1:10" ht="12.75" hidden="1">
      <c r="A186" s="189"/>
      <c r="B186" s="265"/>
      <c r="C186" s="266"/>
      <c r="D186" s="267">
        <v>2212</v>
      </c>
      <c r="E186" s="267">
        <v>5169</v>
      </c>
      <c r="F186" s="309" t="s">
        <v>49</v>
      </c>
      <c r="G186" s="65">
        <v>0</v>
      </c>
      <c r="H186" s="65">
        <v>30.25</v>
      </c>
      <c r="I186" s="290"/>
      <c r="J186" s="65">
        <f>H186+I186</f>
        <v>30.25</v>
      </c>
    </row>
    <row r="187" spans="1:10" ht="12.75" hidden="1">
      <c r="A187" s="189"/>
      <c r="B187" s="265"/>
      <c r="C187" s="266"/>
      <c r="D187" s="267">
        <v>2212</v>
      </c>
      <c r="E187" s="308">
        <v>5171</v>
      </c>
      <c r="F187" s="309" t="s">
        <v>218</v>
      </c>
      <c r="G187" s="65">
        <v>0</v>
      </c>
      <c r="H187" s="65">
        <f>4028.489-4028.489</f>
        <v>0</v>
      </c>
      <c r="I187" s="290"/>
      <c r="J187" s="65">
        <f>H187+I187</f>
        <v>0</v>
      </c>
    </row>
    <row r="188" spans="1:10" ht="13.5" hidden="1" thickBot="1">
      <c r="A188" s="189"/>
      <c r="B188" s="317"/>
      <c r="C188" s="323" t="s">
        <v>286</v>
      </c>
      <c r="D188" s="319">
        <v>2212</v>
      </c>
      <c r="E188" s="324">
        <v>5171</v>
      </c>
      <c r="F188" s="325" t="s">
        <v>218</v>
      </c>
      <c r="G188" s="33">
        <v>0</v>
      </c>
      <c r="H188" s="65">
        <v>4028.489</v>
      </c>
      <c r="I188" s="290"/>
      <c r="J188" s="33">
        <f>H188+I188</f>
        <v>4028.489</v>
      </c>
    </row>
    <row r="189" spans="1:10" ht="12.75" hidden="1">
      <c r="A189" s="189"/>
      <c r="B189" s="263" t="s">
        <v>5</v>
      </c>
      <c r="C189" s="249" t="s">
        <v>347</v>
      </c>
      <c r="D189" s="264" t="s">
        <v>3</v>
      </c>
      <c r="E189" s="264" t="s">
        <v>3</v>
      </c>
      <c r="F189" s="141" t="s">
        <v>348</v>
      </c>
      <c r="G189" s="31">
        <f>SUM(G190:G192)</f>
        <v>0</v>
      </c>
      <c r="H189" s="31">
        <f>SUM(H190:H192)</f>
        <v>6248.606</v>
      </c>
      <c r="I189" s="258">
        <f>SUM(I190:I192)</f>
        <v>0</v>
      </c>
      <c r="J189" s="31">
        <f>SUM(J190:J192)</f>
        <v>6248.606</v>
      </c>
    </row>
    <row r="190" spans="1:10" ht="12.75" hidden="1">
      <c r="A190" s="189"/>
      <c r="B190" s="265"/>
      <c r="C190" s="266"/>
      <c r="D190" s="267">
        <v>2212</v>
      </c>
      <c r="E190" s="267">
        <v>5169</v>
      </c>
      <c r="F190" s="309" t="s">
        <v>49</v>
      </c>
      <c r="G190" s="65">
        <v>0</v>
      </c>
      <c r="H190" s="65">
        <v>27.83</v>
      </c>
      <c r="I190" s="290"/>
      <c r="J190" s="65">
        <f>H190+I190</f>
        <v>27.83</v>
      </c>
    </row>
    <row r="191" spans="1:10" ht="12.75" hidden="1">
      <c r="A191" s="189"/>
      <c r="B191" s="265"/>
      <c r="C191" s="266"/>
      <c r="D191" s="267">
        <v>2212</v>
      </c>
      <c r="E191" s="308">
        <v>5171</v>
      </c>
      <c r="F191" s="309" t="s">
        <v>218</v>
      </c>
      <c r="G191" s="65">
        <v>0</v>
      </c>
      <c r="H191" s="65">
        <f>6220.776-6220.776</f>
        <v>0</v>
      </c>
      <c r="I191" s="290"/>
      <c r="J191" s="65">
        <f>H191+I191</f>
        <v>0</v>
      </c>
    </row>
    <row r="192" spans="1:10" ht="13.5" hidden="1" thickBot="1">
      <c r="A192" s="189"/>
      <c r="B192" s="317"/>
      <c r="C192" s="323" t="s">
        <v>286</v>
      </c>
      <c r="D192" s="319">
        <v>2212</v>
      </c>
      <c r="E192" s="324">
        <v>5171</v>
      </c>
      <c r="F192" s="325" t="s">
        <v>218</v>
      </c>
      <c r="G192" s="33">
        <v>0</v>
      </c>
      <c r="H192" s="65">
        <v>6220.776</v>
      </c>
      <c r="I192" s="290"/>
      <c r="J192" s="33">
        <f>H192+I192</f>
        <v>6220.776</v>
      </c>
    </row>
    <row r="193" spans="1:10" ht="12.75" hidden="1">
      <c r="A193" s="189"/>
      <c r="B193" s="263" t="s">
        <v>5</v>
      </c>
      <c r="C193" s="249" t="s">
        <v>349</v>
      </c>
      <c r="D193" s="264" t="s">
        <v>3</v>
      </c>
      <c r="E193" s="264" t="s">
        <v>3</v>
      </c>
      <c r="F193" s="141" t="s">
        <v>350</v>
      </c>
      <c r="G193" s="31">
        <f>SUM(G194:G195)</f>
        <v>0</v>
      </c>
      <c r="H193" s="31">
        <f>SUM(H194:H195)</f>
        <v>4126.631</v>
      </c>
      <c r="I193" s="258">
        <f>SUM(I194:I195)</f>
        <v>0</v>
      </c>
      <c r="J193" s="31">
        <f>SUM(J194:J195)</f>
        <v>4126.631</v>
      </c>
    </row>
    <row r="194" spans="1:10" ht="12.75" hidden="1">
      <c r="A194" s="189"/>
      <c r="B194" s="265"/>
      <c r="C194" s="266"/>
      <c r="D194" s="267">
        <v>2212</v>
      </c>
      <c r="E194" s="267">
        <v>5169</v>
      </c>
      <c r="F194" s="309" t="s">
        <v>49</v>
      </c>
      <c r="G194" s="65">
        <v>0</v>
      </c>
      <c r="H194" s="65">
        <v>27.83</v>
      </c>
      <c r="I194" s="290"/>
      <c r="J194" s="65">
        <f>H194+I194</f>
        <v>27.83</v>
      </c>
    </row>
    <row r="195" spans="1:10" ht="13.5" hidden="1" thickBot="1">
      <c r="A195" s="189"/>
      <c r="B195" s="283"/>
      <c r="C195" s="254"/>
      <c r="D195" s="138">
        <v>2212</v>
      </c>
      <c r="E195" s="140">
        <v>5171</v>
      </c>
      <c r="F195" s="292" t="s">
        <v>218</v>
      </c>
      <c r="G195" s="33">
        <v>0</v>
      </c>
      <c r="H195" s="67">
        <v>4098.801</v>
      </c>
      <c r="I195" s="322"/>
      <c r="J195" s="33">
        <f>H195+I195</f>
        <v>4098.801</v>
      </c>
    </row>
    <row r="196" spans="1:10" ht="12.75" hidden="1">
      <c r="A196" s="189"/>
      <c r="B196" s="263" t="s">
        <v>5</v>
      </c>
      <c r="C196" s="249" t="s">
        <v>351</v>
      </c>
      <c r="D196" s="257" t="s">
        <v>3</v>
      </c>
      <c r="E196" s="257" t="s">
        <v>3</v>
      </c>
      <c r="F196" s="287" t="s">
        <v>352</v>
      </c>
      <c r="G196" s="31">
        <f>SUM(G197:G198)</f>
        <v>0</v>
      </c>
      <c r="H196" s="31">
        <f>SUM(H197:H198)</f>
        <v>16873.24</v>
      </c>
      <c r="I196" s="258">
        <f>SUM(I197:I198)</f>
        <v>0</v>
      </c>
      <c r="J196" s="31">
        <f>SUM(J197:J198)</f>
        <v>16873.24</v>
      </c>
    </row>
    <row r="197" spans="1:10" ht="12.75" hidden="1">
      <c r="A197" s="189"/>
      <c r="B197" s="259"/>
      <c r="C197" s="260"/>
      <c r="D197" s="261">
        <v>2212</v>
      </c>
      <c r="E197" s="261">
        <v>6121</v>
      </c>
      <c r="F197" s="288" t="s">
        <v>210</v>
      </c>
      <c r="G197" s="65">
        <v>0</v>
      </c>
      <c r="H197" s="65">
        <f>16780.84-14271.359+72.6+19.8</f>
        <v>2601.881</v>
      </c>
      <c r="I197" s="290"/>
      <c r="J197" s="65">
        <f>H197+I197</f>
        <v>2601.881</v>
      </c>
    </row>
    <row r="198" spans="1:10" ht="13.5" hidden="1" thickBot="1">
      <c r="A198" s="189"/>
      <c r="B198" s="326"/>
      <c r="C198" s="327" t="s">
        <v>287</v>
      </c>
      <c r="D198" s="297">
        <v>2212</v>
      </c>
      <c r="E198" s="297">
        <v>6121</v>
      </c>
      <c r="F198" s="298" t="s">
        <v>210</v>
      </c>
      <c r="G198" s="91">
        <v>0</v>
      </c>
      <c r="H198" s="91">
        <v>14271.359</v>
      </c>
      <c r="I198" s="247"/>
      <c r="J198" s="91">
        <f>H198+I198</f>
        <v>14271.359</v>
      </c>
    </row>
    <row r="199" spans="1:10" ht="12.75" hidden="1">
      <c r="A199" s="189"/>
      <c r="B199" s="263" t="s">
        <v>5</v>
      </c>
      <c r="C199" s="249" t="s">
        <v>353</v>
      </c>
      <c r="D199" s="257" t="s">
        <v>3</v>
      </c>
      <c r="E199" s="257" t="s">
        <v>3</v>
      </c>
      <c r="F199" s="287" t="s">
        <v>354</v>
      </c>
      <c r="G199" s="137">
        <f>SUM(G200:G200)</f>
        <v>0</v>
      </c>
      <c r="H199" s="31">
        <f>SUM(H200:H200)</f>
        <v>19977.805</v>
      </c>
      <c r="I199" s="258">
        <f>SUM(I200:I200)</f>
        <v>0</v>
      </c>
      <c r="J199" s="137">
        <f>SUM(J200:J200)</f>
        <v>19977.805</v>
      </c>
    </row>
    <row r="200" spans="1:10" ht="13.5" hidden="1" thickBot="1">
      <c r="A200" s="189"/>
      <c r="B200" s="253"/>
      <c r="C200" s="284"/>
      <c r="D200" s="297">
        <v>2212</v>
      </c>
      <c r="E200" s="297">
        <v>6121</v>
      </c>
      <c r="F200" s="298" t="s">
        <v>210</v>
      </c>
      <c r="G200" s="91">
        <v>0</v>
      </c>
      <c r="H200" s="91">
        <f>19852.325+96.8+19+9.68</f>
        <v>19977.805</v>
      </c>
      <c r="I200" s="247"/>
      <c r="J200" s="91">
        <f>H200+I200</f>
        <v>19977.805</v>
      </c>
    </row>
    <row r="201" spans="1:10" ht="12.75" hidden="1">
      <c r="A201" s="189"/>
      <c r="B201" s="263" t="s">
        <v>5</v>
      </c>
      <c r="C201" s="249" t="s">
        <v>355</v>
      </c>
      <c r="D201" s="264" t="s">
        <v>3</v>
      </c>
      <c r="E201" s="264" t="s">
        <v>3</v>
      </c>
      <c r="F201" s="141" t="s">
        <v>356</v>
      </c>
      <c r="G201" s="31">
        <f>SUM(G202:G203)</f>
        <v>0</v>
      </c>
      <c r="H201" s="31">
        <f>SUM(H202:H203)</f>
        <v>24996.931</v>
      </c>
      <c r="I201" s="258">
        <f>SUM(I202:I203)</f>
        <v>0</v>
      </c>
      <c r="J201" s="31">
        <f>SUM(J202:J203)</f>
        <v>24996.931</v>
      </c>
    </row>
    <row r="202" spans="1:10" ht="12.75" hidden="1">
      <c r="A202" s="189"/>
      <c r="B202" s="265"/>
      <c r="C202" s="266"/>
      <c r="D202" s="267">
        <v>2212</v>
      </c>
      <c r="E202" s="267">
        <v>5169</v>
      </c>
      <c r="F202" s="309" t="s">
        <v>49</v>
      </c>
      <c r="G202" s="65">
        <v>0</v>
      </c>
      <c r="H202" s="65">
        <v>45.98</v>
      </c>
      <c r="I202" s="290"/>
      <c r="J202" s="65">
        <f>H202+I202</f>
        <v>45.98</v>
      </c>
    </row>
    <row r="203" spans="1:10" ht="13.5" hidden="1" thickBot="1">
      <c r="A203" s="189"/>
      <c r="B203" s="283"/>
      <c r="C203" s="254"/>
      <c r="D203" s="138">
        <v>2212</v>
      </c>
      <c r="E203" s="140">
        <v>5171</v>
      </c>
      <c r="F203" s="292" t="s">
        <v>218</v>
      </c>
      <c r="G203" s="33">
        <v>0</v>
      </c>
      <c r="H203" s="65">
        <v>24950.951</v>
      </c>
      <c r="I203" s="290"/>
      <c r="J203" s="33">
        <f>H203+I203</f>
        <v>24950.951</v>
      </c>
    </row>
    <row r="204" spans="1:10" ht="12.75" hidden="1">
      <c r="A204" s="189"/>
      <c r="B204" s="263" t="s">
        <v>5</v>
      </c>
      <c r="C204" s="249" t="s">
        <v>357</v>
      </c>
      <c r="D204" s="264" t="s">
        <v>3</v>
      </c>
      <c r="E204" s="264" t="s">
        <v>3</v>
      </c>
      <c r="F204" s="141" t="s">
        <v>358</v>
      </c>
      <c r="G204" s="31">
        <f>SUM(G205:G207)</f>
        <v>0</v>
      </c>
      <c r="H204" s="31">
        <f>SUM(H205:H207)</f>
        <v>3884.8669999999997</v>
      </c>
      <c r="I204" s="258">
        <f>SUM(I205:I207)</f>
        <v>0</v>
      </c>
      <c r="J204" s="31">
        <f>SUM(J205:J207)</f>
        <v>3884.8669999999997</v>
      </c>
    </row>
    <row r="205" spans="1:10" ht="12.75" hidden="1">
      <c r="A205" s="189"/>
      <c r="B205" s="265"/>
      <c r="C205" s="266"/>
      <c r="D205" s="267">
        <v>2212</v>
      </c>
      <c r="E205" s="267">
        <v>5169</v>
      </c>
      <c r="F205" s="309" t="s">
        <v>49</v>
      </c>
      <c r="G205" s="65">
        <v>0</v>
      </c>
      <c r="H205" s="65">
        <v>39.93</v>
      </c>
      <c r="I205" s="290"/>
      <c r="J205" s="65">
        <f>H205+I205</f>
        <v>39.93</v>
      </c>
    </row>
    <row r="206" spans="1:10" ht="12.75" hidden="1">
      <c r="A206" s="189"/>
      <c r="B206" s="265"/>
      <c r="C206" s="266"/>
      <c r="D206" s="267">
        <v>2212</v>
      </c>
      <c r="E206" s="308">
        <v>5171</v>
      </c>
      <c r="F206" s="309" t="s">
        <v>218</v>
      </c>
      <c r="G206" s="65">
        <v>0</v>
      </c>
      <c r="H206" s="65">
        <f>3844.937-3844.937</f>
        <v>0</v>
      </c>
      <c r="I206" s="290"/>
      <c r="J206" s="65">
        <f>H206+I206</f>
        <v>0</v>
      </c>
    </row>
    <row r="207" spans="1:10" ht="13.5" hidden="1" thickBot="1">
      <c r="A207" s="189"/>
      <c r="B207" s="317"/>
      <c r="C207" s="323" t="s">
        <v>286</v>
      </c>
      <c r="D207" s="319">
        <v>2212</v>
      </c>
      <c r="E207" s="324">
        <v>5171</v>
      </c>
      <c r="F207" s="325" t="s">
        <v>218</v>
      </c>
      <c r="G207" s="33">
        <v>0</v>
      </c>
      <c r="H207" s="65">
        <v>3844.937</v>
      </c>
      <c r="I207" s="290"/>
      <c r="J207" s="33">
        <f>H207+I207</f>
        <v>3844.937</v>
      </c>
    </row>
    <row r="208" spans="1:10" ht="12.75" hidden="1">
      <c r="A208" s="189"/>
      <c r="B208" s="263" t="s">
        <v>5</v>
      </c>
      <c r="C208" s="249" t="s">
        <v>359</v>
      </c>
      <c r="D208" s="264" t="s">
        <v>3</v>
      </c>
      <c r="E208" s="264" t="s">
        <v>3</v>
      </c>
      <c r="F208" s="141" t="s">
        <v>360</v>
      </c>
      <c r="G208" s="31">
        <f>SUM(G209:G211)</f>
        <v>0</v>
      </c>
      <c r="H208" s="31">
        <f>SUM(H209:H211)</f>
        <v>5677.482</v>
      </c>
      <c r="I208" s="258">
        <f>SUM(I209:I211)</f>
        <v>0</v>
      </c>
      <c r="J208" s="31">
        <f>SUM(J209:J211)</f>
        <v>5677.482</v>
      </c>
    </row>
    <row r="209" spans="1:10" ht="12.75" hidden="1">
      <c r="A209" s="189"/>
      <c r="B209" s="265"/>
      <c r="C209" s="266"/>
      <c r="D209" s="267">
        <v>2212</v>
      </c>
      <c r="E209" s="267">
        <v>5169</v>
      </c>
      <c r="F209" s="309" t="s">
        <v>49</v>
      </c>
      <c r="G209" s="65">
        <v>0</v>
      </c>
      <c r="H209" s="65">
        <v>39.93</v>
      </c>
      <c r="I209" s="290"/>
      <c r="J209" s="65">
        <f>H209+I209</f>
        <v>39.93</v>
      </c>
    </row>
    <row r="210" spans="1:10" ht="12.75" hidden="1">
      <c r="A210" s="189"/>
      <c r="B210" s="265"/>
      <c r="C210" s="266"/>
      <c r="D210" s="267">
        <v>2212</v>
      </c>
      <c r="E210" s="308">
        <v>5171</v>
      </c>
      <c r="F210" s="309" t="s">
        <v>218</v>
      </c>
      <c r="G210" s="65">
        <v>0</v>
      </c>
      <c r="H210" s="65">
        <f>5637.552-5637.552</f>
        <v>0</v>
      </c>
      <c r="I210" s="290"/>
      <c r="J210" s="65">
        <f>H210+I210</f>
        <v>0</v>
      </c>
    </row>
    <row r="211" spans="1:10" ht="13.5" hidden="1" thickBot="1">
      <c r="A211" s="189"/>
      <c r="B211" s="317"/>
      <c r="C211" s="323" t="s">
        <v>286</v>
      </c>
      <c r="D211" s="319">
        <v>2212</v>
      </c>
      <c r="E211" s="324">
        <v>5171</v>
      </c>
      <c r="F211" s="325" t="s">
        <v>218</v>
      </c>
      <c r="G211" s="33">
        <v>0</v>
      </c>
      <c r="H211" s="65">
        <v>5637.552</v>
      </c>
      <c r="I211" s="290"/>
      <c r="J211" s="33">
        <f>H211+I211</f>
        <v>5637.552</v>
      </c>
    </row>
    <row r="212" spans="1:10" ht="12.75" hidden="1">
      <c r="A212" s="189"/>
      <c r="B212" s="263" t="s">
        <v>5</v>
      </c>
      <c r="C212" s="249" t="s">
        <v>361</v>
      </c>
      <c r="D212" s="264" t="s">
        <v>3</v>
      </c>
      <c r="E212" s="264" t="s">
        <v>3</v>
      </c>
      <c r="F212" s="141" t="s">
        <v>362</v>
      </c>
      <c r="G212" s="31">
        <f>SUM(G213:G214)</f>
        <v>0</v>
      </c>
      <c r="H212" s="31">
        <f>SUM(H213:H214)</f>
        <v>6052.506</v>
      </c>
      <c r="I212" s="258">
        <f>SUM(I213:I214)</f>
        <v>0</v>
      </c>
      <c r="J212" s="31">
        <f>SUM(J213:J214)</f>
        <v>6052.506</v>
      </c>
    </row>
    <row r="213" spans="1:10" ht="12.75" hidden="1">
      <c r="A213" s="189"/>
      <c r="B213" s="265"/>
      <c r="C213" s="266"/>
      <c r="D213" s="267">
        <v>2212</v>
      </c>
      <c r="E213" s="267">
        <v>5169</v>
      </c>
      <c r="F213" s="309" t="s">
        <v>49</v>
      </c>
      <c r="G213" s="65">
        <v>0</v>
      </c>
      <c r="H213" s="65">
        <v>39.93</v>
      </c>
      <c r="I213" s="290"/>
      <c r="J213" s="65">
        <f>H213+I213</f>
        <v>39.93</v>
      </c>
    </row>
    <row r="214" spans="1:10" ht="13.5" hidden="1" thickBot="1">
      <c r="A214" s="189"/>
      <c r="B214" s="283"/>
      <c r="C214" s="254"/>
      <c r="D214" s="138">
        <v>2212</v>
      </c>
      <c r="E214" s="140">
        <v>5171</v>
      </c>
      <c r="F214" s="292" t="s">
        <v>218</v>
      </c>
      <c r="G214" s="33">
        <v>0</v>
      </c>
      <c r="H214" s="91">
        <v>6012.576</v>
      </c>
      <c r="I214" s="247"/>
      <c r="J214" s="33">
        <f>H214+I214</f>
        <v>6012.576</v>
      </c>
    </row>
    <row r="215" spans="1:10" ht="12.75" hidden="1">
      <c r="A215" s="189"/>
      <c r="B215" s="263" t="s">
        <v>5</v>
      </c>
      <c r="C215" s="249" t="s">
        <v>363</v>
      </c>
      <c r="D215" s="264" t="s">
        <v>3</v>
      </c>
      <c r="E215" s="264" t="s">
        <v>3</v>
      </c>
      <c r="F215" s="141" t="s">
        <v>364</v>
      </c>
      <c r="G215" s="31">
        <f>SUM(G216:G217)</f>
        <v>0</v>
      </c>
      <c r="H215" s="31">
        <f>SUM(H216:H217)</f>
        <v>3653.2670000000003</v>
      </c>
      <c r="I215" s="258">
        <f>SUM(I216:I217)</f>
        <v>0</v>
      </c>
      <c r="J215" s="31">
        <f>SUM(J216:J217)</f>
        <v>3653.2670000000003</v>
      </c>
    </row>
    <row r="216" spans="1:10" ht="12.75" hidden="1">
      <c r="A216" s="189"/>
      <c r="B216" s="265"/>
      <c r="C216" s="266"/>
      <c r="D216" s="267">
        <v>2212</v>
      </c>
      <c r="E216" s="267">
        <v>5169</v>
      </c>
      <c r="F216" s="302" t="s">
        <v>49</v>
      </c>
      <c r="G216" s="65">
        <v>0</v>
      </c>
      <c r="H216" s="65">
        <v>30.492</v>
      </c>
      <c r="I216" s="290"/>
      <c r="J216" s="65">
        <f>H216+I216</f>
        <v>30.492</v>
      </c>
    </row>
    <row r="217" spans="1:10" ht="13.5" hidden="1" thickBot="1">
      <c r="A217" s="189"/>
      <c r="B217" s="283"/>
      <c r="C217" s="323" t="s">
        <v>286</v>
      </c>
      <c r="D217" s="138">
        <v>2212</v>
      </c>
      <c r="E217" s="140">
        <v>5171</v>
      </c>
      <c r="F217" s="292" t="s">
        <v>218</v>
      </c>
      <c r="G217" s="33">
        <v>0</v>
      </c>
      <c r="H217" s="65">
        <v>3622.775</v>
      </c>
      <c r="I217" s="290"/>
      <c r="J217" s="33">
        <f>H217+I217</f>
        <v>3622.775</v>
      </c>
    </row>
    <row r="218" spans="1:10" ht="12.75" hidden="1">
      <c r="A218" s="189"/>
      <c r="B218" s="263" t="s">
        <v>5</v>
      </c>
      <c r="C218" s="249" t="s">
        <v>365</v>
      </c>
      <c r="D218" s="264" t="s">
        <v>3</v>
      </c>
      <c r="E218" s="264" t="s">
        <v>3</v>
      </c>
      <c r="F218" s="141" t="s">
        <v>366</v>
      </c>
      <c r="G218" s="31">
        <f>SUM(G219:G220)</f>
        <v>0</v>
      </c>
      <c r="H218" s="31">
        <f>SUM(H219:H220)</f>
        <v>9445.986</v>
      </c>
      <c r="I218" s="258">
        <f>SUM(I219:I220)</f>
        <v>0</v>
      </c>
      <c r="J218" s="31">
        <f>SUM(J219:J220)</f>
        <v>9445.986</v>
      </c>
    </row>
    <row r="219" spans="1:10" ht="12.75" hidden="1">
      <c r="A219" s="189"/>
      <c r="B219" s="265"/>
      <c r="C219" s="266"/>
      <c r="D219" s="267">
        <v>2212</v>
      </c>
      <c r="E219" s="267">
        <v>5169</v>
      </c>
      <c r="F219" s="302" t="s">
        <v>49</v>
      </c>
      <c r="G219" s="65">
        <v>0</v>
      </c>
      <c r="H219" s="65">
        <v>35.816</v>
      </c>
      <c r="I219" s="290"/>
      <c r="J219" s="65">
        <f>H219+I219</f>
        <v>35.816</v>
      </c>
    </row>
    <row r="220" spans="1:10" ht="13.5" hidden="1" thickBot="1">
      <c r="A220" s="189"/>
      <c r="B220" s="283"/>
      <c r="C220" s="323" t="s">
        <v>286</v>
      </c>
      <c r="D220" s="138">
        <v>2212</v>
      </c>
      <c r="E220" s="140">
        <v>5171</v>
      </c>
      <c r="F220" s="292" t="s">
        <v>218</v>
      </c>
      <c r="G220" s="33">
        <v>0</v>
      </c>
      <c r="H220" s="65">
        <v>9410.17</v>
      </c>
      <c r="I220" s="290"/>
      <c r="J220" s="33">
        <f>H220+I220</f>
        <v>9410.17</v>
      </c>
    </row>
    <row r="221" spans="1:10" ht="12.75" hidden="1">
      <c r="A221" s="189"/>
      <c r="B221" s="263" t="s">
        <v>5</v>
      </c>
      <c r="C221" s="249" t="s">
        <v>367</v>
      </c>
      <c r="D221" s="264" t="s">
        <v>3</v>
      </c>
      <c r="E221" s="264" t="s">
        <v>3</v>
      </c>
      <c r="F221" s="141" t="s">
        <v>368</v>
      </c>
      <c r="G221" s="31">
        <f>SUM(G222:G223)</f>
        <v>0</v>
      </c>
      <c r="H221" s="31">
        <f>SUM(H222:H223)</f>
        <v>8468.306</v>
      </c>
      <c r="I221" s="258">
        <f>SUM(I222:I223)</f>
        <v>0</v>
      </c>
      <c r="J221" s="31">
        <f>SUM(J222:J223)</f>
        <v>8468.306</v>
      </c>
    </row>
    <row r="222" spans="1:10" ht="12.75" hidden="1">
      <c r="A222" s="189"/>
      <c r="B222" s="265"/>
      <c r="C222" s="266"/>
      <c r="D222" s="267">
        <v>2212</v>
      </c>
      <c r="E222" s="267">
        <v>5169</v>
      </c>
      <c r="F222" s="302" t="s">
        <v>49</v>
      </c>
      <c r="G222" s="65">
        <v>0</v>
      </c>
      <c r="H222" s="65">
        <v>35.816</v>
      </c>
      <c r="I222" s="290"/>
      <c r="J222" s="65">
        <f>H222+I222</f>
        <v>35.816</v>
      </c>
    </row>
    <row r="223" spans="1:10" ht="13.5" hidden="1" thickBot="1">
      <c r="A223" s="189"/>
      <c r="B223" s="283"/>
      <c r="C223" s="323" t="s">
        <v>286</v>
      </c>
      <c r="D223" s="138">
        <v>2212</v>
      </c>
      <c r="E223" s="140">
        <v>5171</v>
      </c>
      <c r="F223" s="292" t="s">
        <v>218</v>
      </c>
      <c r="G223" s="33">
        <v>0</v>
      </c>
      <c r="H223" s="65">
        <v>8432.49</v>
      </c>
      <c r="I223" s="290"/>
      <c r="J223" s="33">
        <f>H223+I223</f>
        <v>8432.49</v>
      </c>
    </row>
    <row r="224" spans="1:10" ht="12.75" hidden="1">
      <c r="A224" s="189"/>
      <c r="B224" s="263" t="s">
        <v>5</v>
      </c>
      <c r="C224" s="249" t="s">
        <v>369</v>
      </c>
      <c r="D224" s="264" t="s">
        <v>3</v>
      </c>
      <c r="E224" s="264" t="s">
        <v>3</v>
      </c>
      <c r="F224" s="141" t="s">
        <v>370</v>
      </c>
      <c r="G224" s="31">
        <f>SUM(G225:G226)</f>
        <v>0</v>
      </c>
      <c r="H224" s="31">
        <f>SUM(H225:H226)</f>
        <v>5327.493</v>
      </c>
      <c r="I224" s="258">
        <f>SUM(I225:I226)</f>
        <v>0</v>
      </c>
      <c r="J224" s="31">
        <f>SUM(J225:J226)</f>
        <v>5327.493</v>
      </c>
    </row>
    <row r="225" spans="1:10" ht="12.75" hidden="1">
      <c r="A225" s="189"/>
      <c r="B225" s="265"/>
      <c r="C225" s="266"/>
      <c r="D225" s="267">
        <v>2212</v>
      </c>
      <c r="E225" s="267">
        <v>5169</v>
      </c>
      <c r="F225" s="302" t="s">
        <v>49</v>
      </c>
      <c r="G225" s="65">
        <v>0</v>
      </c>
      <c r="H225" s="65">
        <v>30.25</v>
      </c>
      <c r="I225" s="290"/>
      <c r="J225" s="65">
        <f>H225+I225</f>
        <v>30.25</v>
      </c>
    </row>
    <row r="226" spans="1:10" ht="13.5" hidden="1" thickBot="1">
      <c r="A226" s="189"/>
      <c r="B226" s="283"/>
      <c r="C226" s="328" t="s">
        <v>286</v>
      </c>
      <c r="D226" s="138">
        <v>2212</v>
      </c>
      <c r="E226" s="140">
        <v>5171</v>
      </c>
      <c r="F226" s="292" t="s">
        <v>218</v>
      </c>
      <c r="G226" s="33">
        <v>0</v>
      </c>
      <c r="H226" s="91">
        <v>5297.243</v>
      </c>
      <c r="I226" s="247"/>
      <c r="J226" s="33">
        <f>H226+I226</f>
        <v>5297.243</v>
      </c>
    </row>
    <row r="227" spans="1:10" ht="12.75" hidden="1">
      <c r="A227" s="189"/>
      <c r="B227" s="263" t="s">
        <v>5</v>
      </c>
      <c r="C227" s="249" t="s">
        <v>371</v>
      </c>
      <c r="D227" s="264" t="s">
        <v>3</v>
      </c>
      <c r="E227" s="264" t="s">
        <v>3</v>
      </c>
      <c r="F227" s="141" t="s">
        <v>372</v>
      </c>
      <c r="G227" s="137">
        <f>SUM(G228:G228)</f>
        <v>0</v>
      </c>
      <c r="H227" s="31">
        <f>SUM(H228:H228)</f>
        <v>1128.167</v>
      </c>
      <c r="I227" s="258">
        <f>SUM(I228:I228)</f>
        <v>0</v>
      </c>
      <c r="J227" s="31">
        <f>SUM(J228:J228)</f>
        <v>1128.167</v>
      </c>
    </row>
    <row r="228" spans="1:10" ht="13.5" hidden="1" thickBot="1">
      <c r="A228" s="189"/>
      <c r="B228" s="293"/>
      <c r="C228" s="299"/>
      <c r="D228" s="285">
        <v>2212</v>
      </c>
      <c r="E228" s="138">
        <v>6121</v>
      </c>
      <c r="F228" s="300" t="s">
        <v>210</v>
      </c>
      <c r="G228" s="91">
        <v>0</v>
      </c>
      <c r="H228" s="91">
        <f>979.337+53.24+95.59</f>
        <v>1128.167</v>
      </c>
      <c r="I228" s="247"/>
      <c r="J228" s="91">
        <f>H228+I228</f>
        <v>1128.167</v>
      </c>
    </row>
    <row r="229" spans="1:10" ht="12.75" hidden="1">
      <c r="A229" s="189"/>
      <c r="B229" s="263" t="s">
        <v>5</v>
      </c>
      <c r="C229" s="249" t="s">
        <v>373</v>
      </c>
      <c r="D229" s="257" t="s">
        <v>3</v>
      </c>
      <c r="E229" s="257" t="s">
        <v>3</v>
      </c>
      <c r="F229" s="287" t="s">
        <v>374</v>
      </c>
      <c r="G229" s="137">
        <f>SUM(G230:G230)</f>
        <v>0</v>
      </c>
      <c r="H229" s="31">
        <f>SUM(H230:H230)</f>
        <v>148.83</v>
      </c>
      <c r="I229" s="258">
        <f>SUM(I230:I230)</f>
        <v>0</v>
      </c>
      <c r="J229" s="137">
        <f>SUM(J230:J230)</f>
        <v>148.83</v>
      </c>
    </row>
    <row r="230" spans="1:10" ht="13.5" hidden="1" thickBot="1">
      <c r="A230" s="189"/>
      <c r="B230" s="253"/>
      <c r="C230" s="284"/>
      <c r="D230" s="297">
        <v>2212</v>
      </c>
      <c r="E230" s="297">
        <v>6121</v>
      </c>
      <c r="F230" s="298" t="s">
        <v>210</v>
      </c>
      <c r="G230" s="91">
        <v>0</v>
      </c>
      <c r="H230" s="91">
        <f>53.24+95.59</f>
        <v>148.83</v>
      </c>
      <c r="I230" s="247"/>
      <c r="J230" s="91">
        <f>H230+I230</f>
        <v>148.83</v>
      </c>
    </row>
    <row r="231" spans="1:10" ht="12.75" hidden="1">
      <c r="A231" s="189"/>
      <c r="B231" s="263" t="s">
        <v>5</v>
      </c>
      <c r="C231" s="249" t="s">
        <v>375</v>
      </c>
      <c r="D231" s="264" t="s">
        <v>3</v>
      </c>
      <c r="E231" s="264" t="s">
        <v>3</v>
      </c>
      <c r="F231" s="141" t="s">
        <v>376</v>
      </c>
      <c r="G231" s="31">
        <f>SUM(G232:G233)</f>
        <v>0</v>
      </c>
      <c r="H231" s="31">
        <f>SUM(H232:H233)</f>
        <v>9619.324</v>
      </c>
      <c r="I231" s="258">
        <f>SUM(I232:I233)</f>
        <v>0</v>
      </c>
      <c r="J231" s="31">
        <f>SUM(J232:J233)</f>
        <v>9619.324</v>
      </c>
    </row>
    <row r="232" spans="1:10" ht="12.75" hidden="1">
      <c r="A232" s="189"/>
      <c r="B232" s="265"/>
      <c r="C232" s="266"/>
      <c r="D232" s="267">
        <v>2212</v>
      </c>
      <c r="E232" s="267">
        <v>5169</v>
      </c>
      <c r="F232" s="309" t="s">
        <v>49</v>
      </c>
      <c r="G232" s="65">
        <v>0</v>
      </c>
      <c r="H232" s="65">
        <v>35.816</v>
      </c>
      <c r="I232" s="290"/>
      <c r="J232" s="65">
        <f>H232+I232</f>
        <v>35.816</v>
      </c>
    </row>
    <row r="233" spans="1:10" ht="13.5" hidden="1" thickBot="1">
      <c r="A233" s="190"/>
      <c r="B233" s="283"/>
      <c r="C233" s="254"/>
      <c r="D233" s="138">
        <v>2212</v>
      </c>
      <c r="E233" s="140">
        <v>5171</v>
      </c>
      <c r="F233" s="292" t="s">
        <v>218</v>
      </c>
      <c r="G233" s="33">
        <v>0</v>
      </c>
      <c r="H233" s="91">
        <v>9583.508</v>
      </c>
      <c r="I233" s="247"/>
      <c r="J233" s="33">
        <f>H233+I233</f>
        <v>9583.508</v>
      </c>
    </row>
    <row r="234" ht="12.75">
      <c r="A234" s="329"/>
    </row>
  </sheetData>
  <sheetProtection/>
  <mergeCells count="13">
    <mergeCell ref="H7:H8"/>
    <mergeCell ref="I7:J7"/>
    <mergeCell ref="A10:A233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1811023622047245" right="0.11811023622047245" top="0.7874015748031497" bottom="0.7874015748031497" header="0.11811023622047245" footer="0.11811023622047245"/>
  <pageSetup fitToHeight="1" fitToWidth="1" horizontalDpi="600" verticalDpi="600" orientation="portrait" paperSize="9" scale="93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2017-07-31T12:43:52Z</cp:lastPrinted>
  <dcterms:created xsi:type="dcterms:W3CDTF">2006-09-25T08:49:57Z</dcterms:created>
  <dcterms:modified xsi:type="dcterms:W3CDTF">2017-07-31T13:01:18Z</dcterms:modified>
  <cp:category/>
  <cp:version/>
  <cp:contentType/>
  <cp:contentStatus/>
</cp:coreProperties>
</file>