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3"/>
  </bookViews>
  <sheets>
    <sheet name="Bilance P+V" sheetId="1" r:id="rId1"/>
    <sheet name="příjmy OD" sheetId="2" r:id="rId2"/>
    <sheet name="914 06" sheetId="3" r:id="rId3"/>
    <sheet name="923 06" sheetId="4" r:id="rId4"/>
  </sheets>
  <definedNames/>
  <calcPr fullCalcOnLoad="1"/>
</workbook>
</file>

<file path=xl/sharedStrings.xml><?xml version="1.0" encoding="utf-8"?>
<sst xmlns="http://schemas.openxmlformats.org/spreadsheetml/2006/main" count="550" uniqueCount="234">
  <si>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</si>
  <si>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</si>
  <si>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</si>
  <si>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</si>
  <si>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</si>
  <si>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</si>
  <si>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</si>
  <si>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</si>
  <si>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</si>
  <si>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</si>
  <si>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</si>
  <si>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</si>
  <si>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</si>
  <si>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</si>
  <si>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</si>
  <si>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</si>
  <si>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</si>
  <si>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</si>
  <si>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</si>
  <si>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</si>
  <si>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</si>
  <si>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</si>
  <si>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</si>
  <si>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</si>
  <si>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</si>
  <si>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</si>
  <si>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</si>
  <si>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</si>
  <si>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</si>
  <si>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</si>
  <si>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</si>
  <si>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</si>
  <si>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správce rozpočtových výdajů = odbor dopravy</t>
  </si>
  <si>
    <t>415x</t>
  </si>
  <si>
    <t>Odbor dopravy</t>
  </si>
  <si>
    <t>tis.Kč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</si>
  <si>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</si>
  <si>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</si>
  <si>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</si>
  <si>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</si>
  <si>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</si>
  <si>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</si>
  <si>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</si>
  <si>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</si>
  <si>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</si>
  <si>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</si>
  <si>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</si>
  <si>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</si>
  <si>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</si>
  <si>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</si>
  <si>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</si>
  <si>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</si>
  <si>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</si>
  <si>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</si>
  <si>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</si>
  <si>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</si>
  <si>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</si>
  <si>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</si>
  <si>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Resort. účelové dotace (ze SR, st.fondů)</t>
  </si>
  <si>
    <t xml:space="preserve">   Dotace ze zahraničí</t>
  </si>
  <si>
    <t xml:space="preserve">   Zákon o st.rozpočtu</t>
  </si>
  <si>
    <t xml:space="preserve">   Dotace od obcí</t>
  </si>
  <si>
    <t xml:space="preserve">    Dotace ze zahraničí</t>
  </si>
  <si>
    <t>423x</t>
  </si>
  <si>
    <t xml:space="preserve"> 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</si>
  <si>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</si>
  <si>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</si>
  <si>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</si>
  <si>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Dotace od regionální rady</t>
  </si>
  <si>
    <t>06</t>
  </si>
  <si>
    <t>ZDROJOVÁ  A VÝDAJOVÁ ČÁST ROZPOČTU LK 2018</t>
  </si>
  <si>
    <t>SR 2018</t>
  </si>
  <si>
    <t>UR I 2018</t>
  </si>
  <si>
    <t>UR II 2018</t>
  </si>
  <si>
    <t>1. Zapojení fondů z r. 2017</t>
  </si>
  <si>
    <t>2. Zapojení  zákl.běžného účtu z r. 2017</t>
  </si>
  <si>
    <t>3. Uhrazené splátky dlouhod.půjč.</t>
  </si>
  <si>
    <t>DU</t>
  </si>
  <si>
    <t>investiční transfery zřízeným příspěvkovým organizacím</t>
  </si>
  <si>
    <t>neinvestiční transfery zřízeným příspěvkovým organizacím</t>
  </si>
  <si>
    <t>Příjmy a finanční zdroje odboru dopravy 2018</t>
  </si>
  <si>
    <t>Přijaté transfery (dotace a příspěvky) a zdroje (financování)</t>
  </si>
  <si>
    <t>ORJ</t>
  </si>
  <si>
    <t>ÚZ</t>
  </si>
  <si>
    <t>P Ř Í J M Y   A  T R A N S F E R Y   2 0 1 8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</si>
  <si>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</si>
  <si>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</si>
  <si>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</si>
  <si>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</si>
  <si>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</si>
  <si>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</si>
  <si>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</si>
  <si>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</si>
  <si>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2006</t>
  </si>
  <si>
    <t>0684230000</t>
  </si>
  <si>
    <t>II/290 Bílý Potok, rekonstrukce silnice</t>
  </si>
  <si>
    <t>sankční platby přijaté od jiných subjektů</t>
  </si>
  <si>
    <t>1306</t>
  </si>
  <si>
    <t>0689951601</t>
  </si>
  <si>
    <t>Krajská správa silnic LK p.o. - realizace příkazní smlouvy Silnice LK a.s. na ZIMNÍ ÚDRŽBU 2017</t>
  </si>
  <si>
    <t>ostatní přijaté vratky transferů</t>
  </si>
  <si>
    <t>přijaté nekapitálové příspěvky a náhrady</t>
  </si>
  <si>
    <t>náklady řízení</t>
  </si>
  <si>
    <t>příspěvek na dopravní obslužnost od obchodních společností</t>
  </si>
  <si>
    <t>ostatní nedaňové příjmy</t>
  </si>
  <si>
    <t>A3) vlastní příjmy - kapitálové příjmy</t>
  </si>
  <si>
    <t>41xx</t>
  </si>
  <si>
    <t>B1) Dotace a příspěvky - neinvestiční</t>
  </si>
  <si>
    <t>Financování silnic II. a III. třídy ve vlastnictví kraje</t>
  </si>
  <si>
    <t>91252</t>
  </si>
  <si>
    <t>neinvestiční přijaté transfery ze státních fondů</t>
  </si>
  <si>
    <t>neinvestiční transfery přijaté od obcí</t>
  </si>
  <si>
    <t>42xx</t>
  </si>
  <si>
    <t>B2) Dotace a příspěvky - investiční</t>
  </si>
  <si>
    <t>91628</t>
  </si>
  <si>
    <t>investiční přijaté transfery ze státních fondů</t>
  </si>
  <si>
    <t>příjmy za zkoušky z odborné způsobilosti - řidičské oprávnění</t>
  </si>
  <si>
    <t>sankční platby přijaté od státu, obcí a krajů</t>
  </si>
  <si>
    <t>2306</t>
  </si>
  <si>
    <t>ROP - III/29023 Tanvald - ul. Nemocniční a Pod Špičákem</t>
  </si>
  <si>
    <t>0650341601</t>
  </si>
  <si>
    <t>0650541601</t>
  </si>
  <si>
    <t>ROP - II/270 Mimoň-humanizace průtahu a OK Tyršovo náměstí</t>
  </si>
  <si>
    <t>prodej pozemků</t>
  </si>
  <si>
    <t>prodej nemovitostí</t>
  </si>
  <si>
    <t>Kapitola 923 06 - Spolufinancování EU</t>
  </si>
  <si>
    <t>S P O L U F I N A N C O V Á N Í   E U</t>
  </si>
  <si>
    <t>běžné a kapitálové výdaje resortu celkem</t>
  </si>
  <si>
    <t>IROP</t>
  </si>
  <si>
    <t>OP PS pro cíl EÚS a Intereg V-A</t>
  </si>
  <si>
    <t>06600011601</t>
  </si>
  <si>
    <t>Interreg V-A – Od zámku Frýdlant k zámku Czocha</t>
  </si>
  <si>
    <t>jiné investiční transfery zřízeným příspěvkovým organizacím</t>
  </si>
  <si>
    <t>110100000</t>
  </si>
  <si>
    <t>2212</t>
  </si>
  <si>
    <t>6451</t>
  </si>
  <si>
    <t>000000000</t>
  </si>
  <si>
    <t>investiční půjčené prostředky zřízeným příspěvkovým org.</t>
  </si>
  <si>
    <t>06600020000</t>
  </si>
  <si>
    <t>111100000</t>
  </si>
  <si>
    <t>neinvestiční transfery právnickým osobám</t>
  </si>
  <si>
    <t>110117051</t>
  </si>
  <si>
    <t>ostatní neinvestiční přijaté transfery ze státního rozpočtu</t>
  </si>
  <si>
    <t>ostatní investiční přijaté transfery ze státního rozpočtu</t>
  </si>
  <si>
    <t>splátky půjčených prostředků od příspěvkových organizací</t>
  </si>
  <si>
    <t>06620020000</t>
  </si>
  <si>
    <t>IROP II/273 úsek hranice kraje - Okna</t>
  </si>
  <si>
    <t>107117968</t>
  </si>
  <si>
    <t>107517969</t>
  </si>
  <si>
    <t>06620030000</t>
  </si>
  <si>
    <t>Okružní křižovatka II/292 a II/289 Semily</t>
  </si>
  <si>
    <t>06620140000</t>
  </si>
  <si>
    <t>IROP Jablonné v Podještědí - 2. etapa</t>
  </si>
  <si>
    <t>06620035001</t>
  </si>
  <si>
    <t>IROP OK II/292 a II/289 Semily, ul. Bořkovská, Brodská</t>
  </si>
  <si>
    <t xml:space="preserve">investiční přijaté transfery od obcí </t>
  </si>
  <si>
    <t>neinvestiční převody z Národního fondu</t>
  </si>
  <si>
    <t>investiční převody z Národního fondu</t>
  </si>
  <si>
    <t>investiční půjčené prostředky právnickým osobám</t>
  </si>
  <si>
    <t>Příspěvek na ztrátu dopravce z provozu veřejné osobní drážní dopravy</t>
  </si>
  <si>
    <t>27355</t>
  </si>
  <si>
    <t>0684522006</t>
  </si>
  <si>
    <t>III/27110 Oldřichov na Hranicích</t>
  </si>
  <si>
    <t>Kapitola 914 06 - Působnosti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</si>
  <si>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</si>
  <si>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</si>
  <si>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</si>
  <si>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</si>
  <si>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</si>
  <si>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</si>
  <si>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</si>
  <si>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podlimitní věcná břemena</t>
  </si>
  <si>
    <t>nákup materiálu</t>
  </si>
  <si>
    <t>konzultační, poradenské a právní služby</t>
  </si>
  <si>
    <t>zpracování dat a služby - informační a komunikační technologie</t>
  </si>
  <si>
    <t>nákup ostatních služeb</t>
  </si>
  <si>
    <t>platby daní a poplatků krajům, obcím a státním fondům</t>
  </si>
  <si>
    <t>0611000000</t>
  </si>
  <si>
    <t>opatření v dopravě</t>
  </si>
  <si>
    <t>0612000000</t>
  </si>
  <si>
    <t>posudky, metodika, školení</t>
  </si>
  <si>
    <t>služby školení a vzdělávání</t>
  </si>
  <si>
    <t>cestovné</t>
  </si>
  <si>
    <t>pohoštění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</si>
  <si>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</si>
  <si>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</si>
  <si>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</si>
  <si>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</si>
  <si>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</si>
  <si>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</si>
  <si>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</si>
  <si>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</si>
  <si>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0665000000</t>
  </si>
  <si>
    <t>Vedení majetkového účtu Silnice LK, a.s. - zaknihované akcie</t>
  </si>
  <si>
    <t>služby peněžních ústavů</t>
  </si>
  <si>
    <t>bezpečnost silničního provozu</t>
  </si>
  <si>
    <t>0620000000</t>
  </si>
  <si>
    <t>krajský program BESIP</t>
  </si>
  <si>
    <t>nájemné</t>
  </si>
  <si>
    <t>0626000000</t>
  </si>
  <si>
    <t>kampaň "Nepřiměřená rychlost"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</si>
  <si>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</si>
  <si>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</si>
  <si>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</si>
  <si>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</si>
  <si>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</si>
  <si>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</si>
  <si>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</si>
  <si>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ÚZ 27355</t>
  </si>
  <si>
    <t>výdaje na dopravní obslužnost drážní - železnice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</si>
  <si>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</si>
  <si>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</si>
  <si>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</si>
  <si>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</si>
  <si>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</si>
  <si>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</si>
  <si>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</si>
  <si>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0663010000</t>
  </si>
  <si>
    <t>výdaje na veřejnou zakázku - dopravní obslužnost v LK</t>
  </si>
  <si>
    <t>0663020000</t>
  </si>
  <si>
    <t>Zákaznické centrum - Front office</t>
  </si>
  <si>
    <t>0663030000</t>
  </si>
  <si>
    <t>Příkazní smlouva LK-vnitřní dopravce</t>
  </si>
  <si>
    <t>0663040000</t>
  </si>
  <si>
    <t>Odbavovací systémy IDOL</t>
  </si>
  <si>
    <t>0650540000</t>
  </si>
  <si>
    <t>investiční přijaté transfery od regionálních rad</t>
  </si>
  <si>
    <t>38185501</t>
  </si>
  <si>
    <t>Změna rozpočtu - rozpočtové opatření č. 395/18</t>
  </si>
  <si>
    <t>5.změna-RO č. 395/18</t>
  </si>
  <si>
    <t>13.změna-RO č. 395/18</t>
  </si>
  <si>
    <t>18.změna-RO č. 395/18</t>
  </si>
  <si>
    <t>propadnutí kauce</t>
  </si>
  <si>
    <t>NFV KORID LK - Rozvoj společné dopravní koncepce veřejné dopravy v příhraničních oblastech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</si>
</sst>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4" fontId="1" fillId="0" borderId="29" xfId="52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8" fillId="0" borderId="3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30" fillId="0" borderId="0" xfId="53" applyFont="1" applyAlignment="1">
      <alignment vertical="center"/>
      <protection/>
    </xf>
    <xf numFmtId="49" fontId="32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1" fillId="0" borderId="31" xfId="52" applyFont="1" applyBorder="1" applyAlignment="1">
      <alignment horizontal="center" vertical="center"/>
      <protection/>
    </xf>
    <xf numFmtId="1" fontId="1" fillId="0" borderId="18" xfId="52" applyNumberFormat="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1" fontId="1" fillId="0" borderId="32" xfId="52" applyNumberFormat="1" applyFont="1" applyFill="1" applyBorder="1" applyAlignment="1">
      <alignment horizontal="center" vertical="center"/>
      <protection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49" fontId="4" fillId="0" borderId="25" xfId="52" applyNumberFormat="1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" fontId="4" fillId="0" borderId="35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4" fontId="4" fillId="0" borderId="36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4" borderId="25" xfId="52" applyNumberFormat="1" applyFont="1" applyFill="1" applyBorder="1" applyAlignment="1">
      <alignment horizontal="center" vertical="center"/>
      <protection/>
    </xf>
    <xf numFmtId="0" fontId="4" fillId="24" borderId="34" xfId="52" applyFont="1" applyFill="1" applyBorder="1" applyAlignment="1">
      <alignment horizontal="center" vertical="center"/>
      <protection/>
    </xf>
    <xf numFmtId="49" fontId="4" fillId="24" borderId="24" xfId="52" applyNumberFormat="1" applyFont="1" applyFill="1" applyBorder="1" applyAlignment="1">
      <alignment horizontal="center" vertical="center"/>
      <protection/>
    </xf>
    <xf numFmtId="0" fontId="4" fillId="24" borderId="24" xfId="52" applyFont="1" applyFill="1" applyBorder="1" applyAlignment="1">
      <alignment horizontal="center" vertical="center"/>
      <protection/>
    </xf>
    <xf numFmtId="49" fontId="4" fillId="24" borderId="12" xfId="52" applyNumberFormat="1" applyFont="1" applyFill="1" applyBorder="1" applyAlignment="1">
      <alignment horizontal="center" vertical="center"/>
      <protection/>
    </xf>
    <xf numFmtId="0" fontId="4" fillId="24" borderId="13" xfId="52" applyFont="1" applyFill="1" applyBorder="1" applyAlignment="1">
      <alignment horizontal="left" vertical="center"/>
      <protection/>
    </xf>
    <xf numFmtId="4" fontId="4" fillId="24" borderId="35" xfId="52" applyNumberFormat="1" applyFont="1" applyFill="1" applyBorder="1" applyAlignment="1">
      <alignment vertical="center"/>
      <protection/>
    </xf>
    <xf numFmtId="4" fontId="4" fillId="24" borderId="10" xfId="52" applyNumberFormat="1" applyFont="1" applyFill="1" applyBorder="1" applyAlignment="1">
      <alignment vertical="center"/>
      <protection/>
    </xf>
    <xf numFmtId="4" fontId="4" fillId="24" borderId="36" xfId="52" applyNumberFormat="1" applyFont="1" applyFill="1" applyBorder="1" applyAlignment="1">
      <alignment vertical="center"/>
      <protection/>
    </xf>
    <xf numFmtId="49" fontId="1" fillId="0" borderId="37" xfId="52" applyNumberFormat="1" applyFont="1" applyFill="1" applyBorder="1" applyAlignment="1">
      <alignment horizontal="center" vertical="center"/>
      <protection/>
    </xf>
    <xf numFmtId="0" fontId="1" fillId="0" borderId="27" xfId="50" applyFont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0" fillId="0" borderId="27" xfId="52" applyFont="1" applyFill="1" applyBorder="1" applyAlignment="1">
      <alignment vertical="center"/>
      <protection/>
    </xf>
    <xf numFmtId="0" fontId="1" fillId="0" borderId="28" xfId="50" applyFont="1" applyBorder="1" applyAlignment="1">
      <alignment horizontal="left" vertical="center"/>
      <protection/>
    </xf>
    <xf numFmtId="4" fontId="1" fillId="0" borderId="38" xfId="50" applyNumberFormat="1" applyFont="1" applyBorder="1" applyAlignment="1">
      <alignment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0" fontId="1" fillId="0" borderId="31" xfId="50" applyFont="1" applyBorder="1" applyAlignment="1">
      <alignment horizontal="center" vertical="center"/>
      <protection/>
    </xf>
    <xf numFmtId="0" fontId="0" fillId="0" borderId="31" xfId="52" applyFont="1" applyFill="1" applyBorder="1" applyAlignment="1">
      <alignment vertical="center"/>
      <protection/>
    </xf>
    <xf numFmtId="0" fontId="1" fillId="0" borderId="40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4" fontId="1" fillId="0" borderId="41" xfId="52" applyNumberFormat="1" applyFont="1" applyFill="1" applyBorder="1" applyAlignment="1">
      <alignment vertical="center"/>
      <protection/>
    </xf>
    <xf numFmtId="49" fontId="1" fillId="0" borderId="42" xfId="52" applyNumberFormat="1" applyFont="1" applyFill="1" applyBorder="1" applyAlignment="1">
      <alignment horizontal="center"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0" fontId="1" fillId="0" borderId="43" xfId="52" applyFont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0" fillId="0" borderId="43" xfId="52" applyFont="1" applyFill="1" applyBorder="1" applyAlignment="1">
      <alignment vertical="center"/>
      <protection/>
    </xf>
    <xf numFmtId="0" fontId="1" fillId="0" borderId="43" xfId="50" applyFont="1" applyBorder="1" applyAlignment="1">
      <alignment vertical="center"/>
      <protection/>
    </xf>
    <xf numFmtId="4" fontId="1" fillId="0" borderId="44" xfId="50" applyNumberFormat="1" applyFont="1" applyBorder="1" applyAlignment="1">
      <alignment vertical="center"/>
      <protection/>
    </xf>
    <xf numFmtId="4" fontId="1" fillId="0" borderId="44" xfId="52" applyNumberFormat="1" applyFont="1" applyFill="1" applyBorder="1" applyAlignment="1">
      <alignment vertical="center"/>
      <protection/>
    </xf>
    <xf numFmtId="0" fontId="1" fillId="0" borderId="31" xfId="50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2" xfId="50" applyFont="1" applyBorder="1" applyAlignment="1">
      <alignment horizontal="center" vertical="center"/>
      <protection/>
    </xf>
    <xf numFmtId="0" fontId="0" fillId="0" borderId="32" xfId="52" applyFont="1" applyFill="1" applyBorder="1" applyAlignment="1">
      <alignment vertical="center"/>
      <protection/>
    </xf>
    <xf numFmtId="0" fontId="1" fillId="0" borderId="32" xfId="50" applyFont="1" applyBorder="1" applyAlignment="1">
      <alignment vertical="center"/>
      <protection/>
    </xf>
    <xf numFmtId="4" fontId="1" fillId="0" borderId="29" xfId="50" applyNumberFormat="1" applyFont="1" applyBorder="1" applyAlignment="1">
      <alignment vertical="center"/>
      <protection/>
    </xf>
    <xf numFmtId="49" fontId="33" fillId="0" borderId="42" xfId="52" applyNumberFormat="1" applyFont="1" applyFill="1" applyBorder="1" applyAlignment="1">
      <alignment horizontal="center" vertical="center" wrapText="1"/>
      <protection/>
    </xf>
    <xf numFmtId="0" fontId="33" fillId="0" borderId="45" xfId="52" applyFont="1" applyFill="1" applyBorder="1" applyAlignment="1">
      <alignment horizontal="center" vertical="center" wrapText="1"/>
      <protection/>
    </xf>
    <xf numFmtId="49" fontId="33" fillId="0" borderId="46" xfId="52" applyNumberFormat="1" applyFont="1" applyFill="1" applyBorder="1" applyAlignment="1">
      <alignment horizontal="center" vertical="center" wrapText="1"/>
      <protection/>
    </xf>
    <xf numFmtId="0" fontId="33" fillId="0" borderId="46" xfId="52" applyFont="1" applyFill="1" applyBorder="1" applyAlignment="1">
      <alignment horizontal="center" vertical="center" wrapText="1"/>
      <protection/>
    </xf>
    <xf numFmtId="0" fontId="34" fillId="0" borderId="43" xfId="48" applyFont="1" applyFill="1" applyBorder="1" applyAlignment="1">
      <alignment vertical="center"/>
      <protection/>
    </xf>
    <xf numFmtId="4" fontId="33" fillId="0" borderId="44" xfId="52" applyNumberFormat="1" applyFont="1" applyFill="1" applyBorder="1" applyAlignment="1">
      <alignment vertical="center" wrapText="1"/>
      <protection/>
    </xf>
    <xf numFmtId="49" fontId="1" fillId="0" borderId="47" xfId="52" applyNumberFormat="1" applyFont="1" applyFill="1" applyBorder="1" applyAlignment="1">
      <alignment horizontal="center" vertical="center" wrapText="1"/>
      <protection/>
    </xf>
    <xf numFmtId="0" fontId="1" fillId="0" borderId="48" xfId="52" applyFont="1" applyFill="1" applyBorder="1" applyAlignment="1">
      <alignment horizontal="center" vertical="center" wrapText="1"/>
      <protection/>
    </xf>
    <xf numFmtId="49" fontId="1" fillId="0" borderId="31" xfId="52" applyNumberFormat="1" applyFont="1" applyFill="1" applyBorder="1" applyAlignment="1">
      <alignment horizontal="center" vertical="center" wrapText="1"/>
      <protection/>
    </xf>
    <xf numFmtId="0" fontId="1" fillId="0" borderId="31" xfId="52" applyFont="1" applyFill="1" applyBorder="1" applyAlignment="1">
      <alignment horizontal="center" vertical="center" wrapText="1"/>
      <protection/>
    </xf>
    <xf numFmtId="49" fontId="1" fillId="0" borderId="32" xfId="52" applyNumberFormat="1" applyFont="1" applyFill="1" applyBorder="1" applyAlignment="1">
      <alignment horizontal="center" vertical="center" wrapText="1"/>
      <protection/>
    </xf>
    <xf numFmtId="0" fontId="1" fillId="0" borderId="32" xfId="48" applyFont="1" applyFill="1" applyBorder="1" applyAlignment="1">
      <alignment vertical="center" wrapText="1"/>
      <protection/>
    </xf>
    <xf numFmtId="4" fontId="1" fillId="0" borderId="29" xfId="52" applyNumberFormat="1" applyFont="1" applyFill="1" applyBorder="1" applyAlignment="1">
      <alignment vertical="center" wrapText="1"/>
      <protection/>
    </xf>
    <xf numFmtId="4" fontId="1" fillId="0" borderId="49" xfId="52" applyNumberFormat="1" applyFont="1" applyFill="1" applyBorder="1" applyAlignment="1">
      <alignment vertical="center"/>
      <protection/>
    </xf>
    <xf numFmtId="49" fontId="40" fillId="0" borderId="50" xfId="52" applyNumberFormat="1" applyFont="1" applyFill="1" applyBorder="1" applyAlignment="1">
      <alignment horizontal="center" vertical="center"/>
      <protection/>
    </xf>
    <xf numFmtId="49" fontId="40" fillId="0" borderId="43" xfId="52" applyNumberFormat="1" applyFont="1" applyBorder="1" applyAlignment="1">
      <alignment horizontal="center" vertical="center" wrapText="1"/>
      <protection/>
    </xf>
    <xf numFmtId="49" fontId="40" fillId="0" borderId="46" xfId="50" applyNumberFormat="1" applyFont="1" applyFill="1" applyBorder="1" applyAlignment="1">
      <alignment horizontal="center" vertical="center" wrapText="1"/>
      <protection/>
    </xf>
    <xf numFmtId="0" fontId="40" fillId="0" borderId="46" xfId="52" applyFont="1" applyFill="1" applyBorder="1" applyAlignment="1">
      <alignment horizontal="center" vertical="center" wrapText="1"/>
      <protection/>
    </xf>
    <xf numFmtId="2" fontId="41" fillId="0" borderId="16" xfId="55" applyNumberFormat="1" applyFont="1" applyFill="1" applyBorder="1" applyAlignment="1">
      <alignment horizontal="left" vertical="center" wrapText="1"/>
      <protection/>
    </xf>
    <xf numFmtId="4" fontId="40" fillId="0" borderId="44" xfId="50" applyNumberFormat="1" applyFont="1" applyFill="1" applyBorder="1" applyAlignment="1">
      <alignment vertical="center" wrapText="1"/>
      <protection/>
    </xf>
    <xf numFmtId="4" fontId="40" fillId="0" borderId="51" xfId="50" applyNumberFormat="1" applyFont="1" applyFill="1" applyBorder="1" applyAlignment="1">
      <alignment vertical="center" wrapText="1"/>
      <protection/>
    </xf>
    <xf numFmtId="0" fontId="33" fillId="0" borderId="52" xfId="50" applyFont="1" applyFill="1" applyBorder="1" applyAlignment="1">
      <alignment horizontal="center" vertical="center" wrapText="1"/>
      <protection/>
    </xf>
    <xf numFmtId="49" fontId="33" fillId="0" borderId="53" xfId="50" applyNumberFormat="1" applyFont="1" applyFill="1" applyBorder="1" applyAlignment="1">
      <alignment horizontal="center" vertical="center" wrapText="1"/>
      <protection/>
    </xf>
    <xf numFmtId="49" fontId="33" fillId="0" borderId="54" xfId="50" applyNumberFormat="1" applyFont="1" applyFill="1" applyBorder="1" applyAlignment="1">
      <alignment horizontal="center" vertical="center" wrapText="1"/>
      <protection/>
    </xf>
    <xf numFmtId="4" fontId="1" fillId="0" borderId="55" xfId="52" applyNumberFormat="1" applyFont="1" applyFill="1" applyBorder="1" applyAlignment="1">
      <alignment vertical="center"/>
      <protection/>
    </xf>
    <xf numFmtId="49" fontId="33" fillId="0" borderId="42" xfId="52" applyNumberFormat="1" applyFont="1" applyFill="1" applyBorder="1" applyAlignment="1">
      <alignment horizontal="center" vertical="center"/>
      <protection/>
    </xf>
    <xf numFmtId="0" fontId="33" fillId="0" borderId="46" xfId="50" applyFont="1" applyFill="1" applyBorder="1" applyAlignment="1">
      <alignment horizontal="center" vertical="center"/>
      <protection/>
    </xf>
    <xf numFmtId="0" fontId="33" fillId="0" borderId="46" xfId="52" applyFont="1" applyFill="1" applyBorder="1" applyAlignment="1">
      <alignment horizontal="center" vertical="center"/>
      <protection/>
    </xf>
    <xf numFmtId="49" fontId="33" fillId="0" borderId="46" xfId="50" applyNumberFormat="1" applyFont="1" applyFill="1" applyBorder="1" applyAlignment="1">
      <alignment horizontal="center" vertical="center" wrapText="1"/>
      <protection/>
    </xf>
    <xf numFmtId="0" fontId="33" fillId="0" borderId="46" xfId="50" applyFont="1" applyBorder="1" applyAlignment="1">
      <alignment horizontal="center" vertical="center"/>
      <protection/>
    </xf>
    <xf numFmtId="0" fontId="33" fillId="0" borderId="16" xfId="50" applyFont="1" applyBorder="1" applyAlignment="1">
      <alignment vertical="center"/>
      <protection/>
    </xf>
    <xf numFmtId="4" fontId="33" fillId="0" borderId="50" xfId="50" applyNumberFormat="1" applyFont="1" applyBorder="1" applyAlignment="1">
      <alignment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1" fillId="0" borderId="53" xfId="52" applyFont="1" applyBorder="1" applyAlignment="1">
      <alignment horizontal="center" vertical="center"/>
      <protection/>
    </xf>
    <xf numFmtId="0" fontId="1" fillId="0" borderId="53" xfId="50" applyFont="1" applyBorder="1" applyAlignment="1">
      <alignment horizontal="center" vertical="center"/>
      <protection/>
    </xf>
    <xf numFmtId="0" fontId="0" fillId="0" borderId="53" xfId="52" applyFont="1" applyFill="1" applyBorder="1" applyAlignment="1">
      <alignment vertical="center"/>
      <protection/>
    </xf>
    <xf numFmtId="0" fontId="1" fillId="0" borderId="56" xfId="50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0" fontId="33" fillId="0" borderId="43" xfId="48" applyFont="1" applyFill="1" applyBorder="1" applyAlignment="1">
      <alignment vertical="center" wrapText="1"/>
      <protection/>
    </xf>
    <xf numFmtId="49" fontId="1" fillId="0" borderId="52" xfId="52" applyNumberFormat="1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49" fontId="1" fillId="0" borderId="53" xfId="52" applyNumberFormat="1" applyFont="1" applyFill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49" fontId="1" fillId="0" borderId="57" xfId="52" applyNumberFormat="1" applyFont="1" applyFill="1" applyBorder="1" applyAlignment="1">
      <alignment horizontal="center" vertical="center"/>
      <protection/>
    </xf>
    <xf numFmtId="0" fontId="1" fillId="0" borderId="57" xfId="48" applyFont="1" applyFill="1" applyBorder="1" applyAlignment="1">
      <alignment vertical="center"/>
      <protection/>
    </xf>
    <xf numFmtId="4" fontId="1" fillId="0" borderId="58" xfId="52" applyNumberFormat="1" applyFont="1" applyFill="1" applyBorder="1" applyAlignment="1">
      <alignment vertical="center"/>
      <protection/>
    </xf>
    <xf numFmtId="0" fontId="1" fillId="0" borderId="46" xfId="50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49" fontId="1" fillId="0" borderId="43" xfId="52" applyNumberFormat="1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49" fontId="1" fillId="0" borderId="61" xfId="52" applyNumberFormat="1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39" xfId="52" applyNumberFormat="1" applyFont="1" applyFill="1" applyBorder="1" applyAlignment="1">
      <alignment vertical="center"/>
      <protection/>
    </xf>
    <xf numFmtId="0" fontId="33" fillId="0" borderId="16" xfId="48" applyFont="1" applyFill="1" applyBorder="1" applyAlignment="1">
      <alignment vertical="center" wrapText="1"/>
      <protection/>
    </xf>
    <xf numFmtId="4" fontId="33" fillId="0" borderId="59" xfId="52" applyNumberFormat="1" applyFont="1" applyFill="1" applyBorder="1" applyAlignment="1">
      <alignment vertical="center" wrapText="1"/>
      <protection/>
    </xf>
    <xf numFmtId="4" fontId="33" fillId="0" borderId="50" xfId="52" applyNumberFormat="1" applyFont="1" applyFill="1" applyBorder="1" applyAlignment="1">
      <alignment vertical="center" wrapText="1"/>
      <protection/>
    </xf>
    <xf numFmtId="49" fontId="1" fillId="0" borderId="52" xfId="52" applyNumberFormat="1" applyFont="1" applyFill="1" applyBorder="1" applyAlignment="1">
      <alignment horizontal="center" vertical="center" wrapText="1"/>
      <protection/>
    </xf>
    <xf numFmtId="0" fontId="1" fillId="0" borderId="54" xfId="52" applyFont="1" applyFill="1" applyBorder="1" applyAlignment="1">
      <alignment horizontal="center" vertical="center" wrapText="1"/>
      <protection/>
    </xf>
    <xf numFmtId="49" fontId="1" fillId="0" borderId="53" xfId="52" applyNumberFormat="1" applyFont="1" applyFill="1" applyBorder="1" applyAlignment="1">
      <alignment horizontal="center" vertical="center" wrapText="1"/>
      <protection/>
    </xf>
    <xf numFmtId="0" fontId="1" fillId="0" borderId="53" xfId="52" applyFont="1" applyFill="1" applyBorder="1" applyAlignment="1">
      <alignment horizontal="center" vertical="center" wrapText="1"/>
      <protection/>
    </xf>
    <xf numFmtId="49" fontId="1" fillId="0" borderId="57" xfId="52" applyNumberFormat="1" applyFont="1" applyFill="1" applyBorder="1" applyAlignment="1">
      <alignment horizontal="center" vertical="center" wrapText="1"/>
      <protection/>
    </xf>
    <xf numFmtId="0" fontId="1" fillId="0" borderId="56" xfId="48" applyFont="1" applyFill="1" applyBorder="1" applyAlignment="1">
      <alignment vertical="center" wrapText="1"/>
      <protection/>
    </xf>
    <xf numFmtId="4" fontId="1" fillId="0" borderId="63" xfId="52" applyNumberFormat="1" applyFont="1" applyFill="1" applyBorder="1" applyAlignment="1">
      <alignment vertical="center" wrapText="1"/>
      <protection/>
    </xf>
    <xf numFmtId="4" fontId="1" fillId="0" borderId="64" xfId="52" applyNumberFormat="1" applyFont="1" applyFill="1" applyBorder="1" applyAlignment="1">
      <alignment vertical="center" wrapTex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0" fontId="1" fillId="0" borderId="40" xfId="50" applyFont="1" applyBorder="1" applyAlignment="1">
      <alignment vertical="center"/>
      <protection/>
    </xf>
    <xf numFmtId="4" fontId="1" fillId="0" borderId="65" xfId="50" applyNumberFormat="1" applyFont="1" applyBorder="1" applyAlignment="1">
      <alignment vertical="center"/>
      <protection/>
    </xf>
    <xf numFmtId="4" fontId="1" fillId="0" borderId="11" xfId="50" applyNumberFormat="1" applyFont="1" applyBorder="1" applyAlignment="1">
      <alignment vertical="center"/>
      <protection/>
    </xf>
    <xf numFmtId="0" fontId="1" fillId="0" borderId="40" xfId="48" applyFont="1" applyFill="1" applyBorder="1" applyAlignment="1">
      <alignment vertical="center" wrapText="1"/>
      <protection/>
    </xf>
    <xf numFmtId="4" fontId="1" fillId="0" borderId="65" xfId="52" applyNumberFormat="1" applyFont="1" applyFill="1" applyBorder="1" applyAlignment="1">
      <alignment vertical="center" wrapText="1"/>
      <protection/>
    </xf>
    <xf numFmtId="4" fontId="1" fillId="0" borderId="33" xfId="52" applyNumberFormat="1" applyFont="1" applyFill="1" applyBorder="1" applyAlignment="1">
      <alignment vertical="center" wrapText="1"/>
      <protection/>
    </xf>
    <xf numFmtId="49" fontId="1" fillId="0" borderId="50" xfId="52" applyNumberFormat="1" applyFont="1" applyFill="1" applyBorder="1" applyAlignment="1">
      <alignment horizontal="center" vertical="center"/>
      <protection/>
    </xf>
    <xf numFmtId="0" fontId="1" fillId="0" borderId="46" xfId="50" applyFont="1" applyBorder="1" applyAlignment="1">
      <alignment horizontal="center" vertical="center"/>
      <protection/>
    </xf>
    <xf numFmtId="0" fontId="1" fillId="0" borderId="59" xfId="50" applyFont="1" applyBorder="1" applyAlignment="1">
      <alignment horizontal="center" vertical="center"/>
      <protection/>
    </xf>
    <xf numFmtId="0" fontId="0" fillId="0" borderId="46" xfId="52" applyFont="1" applyFill="1" applyBorder="1" applyAlignment="1">
      <alignment vertical="center"/>
      <protection/>
    </xf>
    <xf numFmtId="0" fontId="1" fillId="0" borderId="16" xfId="50" applyFont="1" applyBorder="1" applyAlignment="1">
      <alignment horizontal="left" vertical="center"/>
      <protection/>
    </xf>
    <xf numFmtId="4" fontId="1" fillId="0" borderId="59" xfId="50" applyNumberFormat="1" applyFont="1" applyBorder="1" applyAlignment="1">
      <alignment vertical="center"/>
      <protection/>
    </xf>
    <xf numFmtId="4" fontId="1" fillId="0" borderId="50" xfId="52" applyNumberFormat="1" applyFont="1" applyFill="1" applyBorder="1" applyAlignment="1">
      <alignment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24" xfId="52" applyFont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 vertical="center"/>
      <protection/>
    </xf>
    <xf numFmtId="0" fontId="0" fillId="0" borderId="12" xfId="52" applyFont="1" applyFill="1" applyBorder="1" applyAlignment="1">
      <alignment vertical="center"/>
      <protection/>
    </xf>
    <xf numFmtId="0" fontId="1" fillId="0" borderId="12" xfId="50" applyFont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0" fontId="34" fillId="0" borderId="16" xfId="48" applyFont="1" applyFill="1" applyBorder="1" applyAlignment="1">
      <alignment vertical="center"/>
      <protection/>
    </xf>
    <xf numFmtId="171" fontId="6" fillId="0" borderId="0" xfId="0" applyNumberFormat="1" applyFont="1" applyFill="1" applyAlignment="1">
      <alignment vertical="center"/>
    </xf>
    <xf numFmtId="4" fontId="7" fillId="0" borderId="46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9" fontId="33" fillId="0" borderId="46" xfId="52" applyNumberFormat="1" applyFont="1" applyFill="1" applyBorder="1" applyAlignment="1">
      <alignment horizontal="center" vertical="center"/>
      <protection/>
    </xf>
    <xf numFmtId="175" fontId="1" fillId="0" borderId="0" xfId="53" applyNumberFormat="1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49" fontId="4" fillId="0" borderId="12" xfId="51" applyNumberFormat="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35" fillId="0" borderId="34" xfId="51" applyFont="1" applyBorder="1" applyAlignment="1">
      <alignment horizontal="center" vertical="center"/>
      <protection/>
    </xf>
    <xf numFmtId="49" fontId="35" fillId="0" borderId="24" xfId="51" applyNumberFormat="1" applyFont="1" applyBorder="1" applyAlignment="1">
      <alignment horizontal="center" vertical="center"/>
      <protection/>
    </xf>
    <xf numFmtId="0" fontId="35" fillId="0" borderId="24" xfId="51" applyFont="1" applyBorder="1" applyAlignment="1">
      <alignment horizontal="center" vertical="center"/>
      <protection/>
    </xf>
    <xf numFmtId="0" fontId="35" fillId="0" borderId="24" xfId="51" applyFont="1" applyBorder="1" applyAlignment="1">
      <alignment horizontal="center" vertical="center"/>
      <protection/>
    </xf>
    <xf numFmtId="49" fontId="35" fillId="0" borderId="12" xfId="51" applyNumberFormat="1" applyFont="1" applyBorder="1" applyAlignment="1">
      <alignment horizontal="center" vertical="center"/>
      <protection/>
    </xf>
    <xf numFmtId="0" fontId="36" fillId="0" borderId="13" xfId="48" applyFont="1" applyBorder="1" applyAlignment="1">
      <alignment vertical="center"/>
      <protection/>
    </xf>
    <xf numFmtId="4" fontId="35" fillId="0" borderId="10" xfId="51" applyNumberFormat="1" applyFont="1" applyFill="1" applyBorder="1" applyAlignment="1">
      <alignment vertical="center"/>
      <protection/>
    </xf>
    <xf numFmtId="4" fontId="35" fillId="0" borderId="11" xfId="51" applyNumberFormat="1" applyFont="1" applyFill="1" applyBorder="1" applyAlignment="1">
      <alignment vertical="center"/>
      <protection/>
    </xf>
    <xf numFmtId="0" fontId="33" fillId="0" borderId="45" xfId="51" applyFont="1" applyBorder="1" applyAlignment="1">
      <alignment horizontal="center" vertical="center"/>
      <protection/>
    </xf>
    <xf numFmtId="0" fontId="33" fillId="0" borderId="46" xfId="52" applyFont="1" applyBorder="1" applyAlignment="1">
      <alignment horizontal="center" vertical="center"/>
      <protection/>
    </xf>
    <xf numFmtId="0" fontId="33" fillId="0" borderId="46" xfId="52" applyFont="1" applyBorder="1" applyAlignment="1">
      <alignment horizontal="center" vertical="center"/>
      <protection/>
    </xf>
    <xf numFmtId="49" fontId="33" fillId="0" borderId="43" xfId="52" applyNumberFormat="1" applyFont="1" applyBorder="1" applyAlignment="1">
      <alignment horizontal="center" vertical="center"/>
      <protection/>
    </xf>
    <xf numFmtId="0" fontId="34" fillId="0" borderId="16" xfId="48" applyFont="1" applyBorder="1" applyAlignment="1">
      <alignment vertical="center" wrapText="1"/>
      <protection/>
    </xf>
    <xf numFmtId="4" fontId="33" fillId="0" borderId="44" xfId="51" applyNumberFormat="1" applyFont="1" applyFill="1" applyBorder="1" applyAlignment="1">
      <alignment vertical="center"/>
      <protection/>
    </xf>
    <xf numFmtId="0" fontId="1" fillId="0" borderId="66" xfId="51" applyFont="1" applyBorder="1" applyAlignment="1">
      <alignment horizontal="center" vertical="center"/>
      <protection/>
    </xf>
    <xf numFmtId="0" fontId="0" fillId="0" borderId="67" xfId="52" applyFont="1" applyBorder="1" applyAlignment="1">
      <alignment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49" fontId="1" fillId="0" borderId="18" xfId="52" applyNumberFormat="1" applyFont="1" applyFill="1" applyBorder="1" applyAlignment="1">
      <alignment horizontal="center" vertical="center"/>
      <protection/>
    </xf>
    <xf numFmtId="0" fontId="1" fillId="0" borderId="20" xfId="52" applyFont="1" applyBorder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1" fillId="0" borderId="28" xfId="52" applyFont="1" applyBorder="1" applyAlignment="1">
      <alignment vertical="center"/>
      <protection/>
    </xf>
    <xf numFmtId="0" fontId="38" fillId="0" borderId="28" xfId="48" applyFont="1" applyFill="1" applyBorder="1" applyAlignment="1">
      <alignment vertical="center" wrapText="1"/>
      <protection/>
    </xf>
    <xf numFmtId="0" fontId="1" fillId="0" borderId="68" xfId="5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49" fontId="1" fillId="25" borderId="31" xfId="54" applyNumberFormat="1" applyFont="1" applyFill="1" applyBorder="1" applyAlignment="1">
      <alignment horizontal="center" vertical="center"/>
      <protection/>
    </xf>
    <xf numFmtId="49" fontId="1" fillId="0" borderId="15" xfId="52" applyNumberFormat="1" applyFont="1" applyFill="1" applyBorder="1" applyAlignment="1">
      <alignment horizontal="center" vertical="center"/>
      <protection/>
    </xf>
    <xf numFmtId="0" fontId="1" fillId="0" borderId="40" xfId="52" applyFont="1" applyBorder="1" applyAlignment="1">
      <alignment vertical="center"/>
      <protection/>
    </xf>
    <xf numFmtId="0" fontId="33" fillId="0" borderId="45" xfId="52" applyFont="1" applyFill="1" applyBorder="1" applyAlignment="1">
      <alignment vertical="center"/>
      <protection/>
    </xf>
    <xf numFmtId="0" fontId="33" fillId="0" borderId="46" xfId="52" applyFont="1" applyFill="1" applyBorder="1" applyAlignment="1">
      <alignment horizontal="center" vertical="center"/>
      <protection/>
    </xf>
    <xf numFmtId="49" fontId="33" fillId="0" borderId="43" xfId="52" applyNumberFormat="1" applyFont="1" applyFill="1" applyBorder="1" applyAlignment="1">
      <alignment horizontal="center" vertical="center"/>
      <protection/>
    </xf>
    <xf numFmtId="0" fontId="34" fillId="0" borderId="16" xfId="49" applyFont="1" applyFill="1" applyBorder="1" applyAlignment="1">
      <alignment vertical="center" wrapText="1"/>
      <protection/>
    </xf>
    <xf numFmtId="4" fontId="33" fillId="0" borderId="50" xfId="52" applyNumberFormat="1" applyFont="1" applyFill="1" applyBorder="1" applyAlignment="1">
      <alignment vertical="center"/>
      <protection/>
    </xf>
    <xf numFmtId="4" fontId="33" fillId="0" borderId="44" xfId="52" applyNumberFormat="1" applyFont="1" applyFill="1" applyBorder="1" applyAlignment="1">
      <alignment vertical="center"/>
      <protection/>
    </xf>
    <xf numFmtId="0" fontId="1" fillId="0" borderId="48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vertical="center"/>
      <protection/>
    </xf>
    <xf numFmtId="0" fontId="38" fillId="0" borderId="32" xfId="48" applyFont="1" applyFill="1" applyBorder="1" applyAlignment="1">
      <alignment vertical="center" wrapText="1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173" fontId="0" fillId="0" borderId="0" xfId="53" applyNumberFormat="1" applyAlignment="1">
      <alignment vertical="center"/>
      <protection/>
    </xf>
    <xf numFmtId="0" fontId="1" fillId="0" borderId="32" xfId="52" applyFont="1" applyFill="1" applyBorder="1" applyAlignment="1">
      <alignment horizontal="center" vertical="center" wrapText="1"/>
      <protection/>
    </xf>
    <xf numFmtId="49" fontId="1" fillId="0" borderId="22" xfId="52" applyNumberFormat="1" applyFont="1" applyFill="1" applyBorder="1" applyAlignment="1">
      <alignment horizontal="center" vertical="center" wrapText="1"/>
      <protection/>
    </xf>
    <xf numFmtId="0" fontId="1" fillId="0" borderId="66" xfId="52" applyFont="1" applyFill="1" applyBorder="1" applyAlignment="1">
      <alignment horizontal="center" vertical="center" wrapText="1"/>
      <protection/>
    </xf>
    <xf numFmtId="49" fontId="1" fillId="0" borderId="19" xfId="52" applyNumberFormat="1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49" fontId="1" fillId="0" borderId="18" xfId="52" applyNumberFormat="1" applyFont="1" applyFill="1" applyBorder="1" applyAlignment="1">
      <alignment horizontal="center" vertical="center" wrapText="1"/>
      <protection/>
    </xf>
    <xf numFmtId="0" fontId="1" fillId="0" borderId="20" xfId="48" applyFont="1" applyFill="1" applyBorder="1" applyAlignment="1">
      <alignment vertical="center" wrapText="1"/>
      <protection/>
    </xf>
    <xf numFmtId="4" fontId="1" fillId="0" borderId="67" xfId="52" applyNumberFormat="1" applyFont="1" applyFill="1" applyBorder="1" applyAlignment="1">
      <alignment vertical="center" wrapText="1"/>
      <protection/>
    </xf>
    <xf numFmtId="4" fontId="1" fillId="0" borderId="23" xfId="51" applyNumberFormat="1" applyFont="1" applyFill="1" applyBorder="1" applyAlignment="1">
      <alignment vertical="center"/>
      <protection/>
    </xf>
    <xf numFmtId="4" fontId="8" fillId="0" borderId="69" xfId="0" applyNumberFormat="1" applyFont="1" applyBorder="1" applyAlignment="1">
      <alignment horizontal="right" vertical="center" wrapText="1"/>
    </xf>
    <xf numFmtId="49" fontId="33" fillId="0" borderId="50" xfId="52" applyNumberFormat="1" applyFont="1" applyFill="1" applyBorder="1" applyAlignment="1">
      <alignment horizontal="center" vertical="center"/>
      <protection/>
    </xf>
    <xf numFmtId="0" fontId="33" fillId="0" borderId="16" xfId="48" applyFont="1" applyFill="1" applyBorder="1" applyAlignment="1">
      <alignment vertical="center"/>
      <protection/>
    </xf>
    <xf numFmtId="49" fontId="1" fillId="0" borderId="33" xfId="52" applyNumberFormat="1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56" xfId="48" applyFont="1" applyFill="1" applyBorder="1" applyAlignment="1">
      <alignment vertical="center"/>
      <protection/>
    </xf>
    <xf numFmtId="171" fontId="7" fillId="0" borderId="46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7" fillId="0" borderId="19" xfId="0" applyNumberFormat="1" applyFont="1" applyFill="1" applyBorder="1" applyAlignment="1">
      <alignment horizontal="right" vertical="center" wrapText="1"/>
    </xf>
    <xf numFmtId="171" fontId="8" fillId="0" borderId="19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171" fontId="8" fillId="0" borderId="27" xfId="0" applyNumberFormat="1" applyFont="1" applyBorder="1" applyAlignment="1">
      <alignment horizontal="right" vertical="center" wrapText="1"/>
    </xf>
    <xf numFmtId="171" fontId="8" fillId="0" borderId="27" xfId="0" applyNumberFormat="1" applyFont="1" applyFill="1" applyBorder="1" applyAlignment="1">
      <alignment horizontal="right" vertical="center" wrapText="1"/>
    </xf>
    <xf numFmtId="171" fontId="7" fillId="0" borderId="24" xfId="0" applyNumberFormat="1" applyFont="1" applyBorder="1" applyAlignment="1">
      <alignment horizontal="right" vertical="center" wrapText="1"/>
    </xf>
    <xf numFmtId="4" fontId="1" fillId="0" borderId="17" xfId="52" applyNumberFormat="1" applyFont="1" applyFill="1" applyBorder="1" applyAlignment="1">
      <alignment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38" fillId="0" borderId="18" xfId="48" applyFont="1" applyFill="1" applyBorder="1" applyAlignment="1">
      <alignment vertical="center" wrapText="1"/>
      <protection/>
    </xf>
    <xf numFmtId="4" fontId="1" fillId="0" borderId="21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0" xfId="51" applyFont="1" applyBorder="1" applyAlignment="1">
      <alignment horizontal="center" vertical="center"/>
      <protection/>
    </xf>
    <xf numFmtId="0" fontId="4" fillId="0" borderId="71" xfId="51" applyFont="1" applyBorder="1" applyAlignment="1">
      <alignment horizontal="center" vertical="center"/>
      <protection/>
    </xf>
    <xf numFmtId="0" fontId="4" fillId="0" borderId="33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72" xfId="51" applyFont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33" fillId="0" borderId="34" xfId="51" applyFont="1" applyBorder="1" applyAlignment="1">
      <alignment horizontal="center" vertical="center"/>
      <protection/>
    </xf>
    <xf numFmtId="49" fontId="33" fillId="0" borderId="24" xfId="51" applyNumberFormat="1" applyFont="1" applyBorder="1" applyAlignment="1">
      <alignment horizontal="center" vertical="center"/>
      <protection/>
    </xf>
    <xf numFmtId="0" fontId="33" fillId="0" borderId="24" xfId="51" applyFont="1" applyBorder="1" applyAlignment="1">
      <alignment horizontal="center" vertical="center"/>
      <protection/>
    </xf>
    <xf numFmtId="0" fontId="33" fillId="0" borderId="12" xfId="51" applyFont="1" applyBorder="1" applyAlignment="1">
      <alignment vertical="center"/>
      <protection/>
    </xf>
    <xf numFmtId="4" fontId="33" fillId="0" borderId="10" xfId="51" applyNumberFormat="1" applyFont="1" applyFill="1" applyBorder="1" applyAlignment="1">
      <alignment vertical="center"/>
      <protection/>
    </xf>
    <xf numFmtId="4" fontId="33" fillId="0" borderId="11" xfId="51" applyNumberFormat="1" applyFont="1" applyFill="1" applyBorder="1" applyAlignment="1">
      <alignment vertical="center"/>
      <protection/>
    </xf>
    <xf numFmtId="0" fontId="39" fillId="0" borderId="45" xfId="51" applyFont="1" applyBorder="1" applyAlignment="1">
      <alignment horizontal="center" vertical="center"/>
      <protection/>
    </xf>
    <xf numFmtId="49" fontId="39" fillId="0" borderId="46" xfId="51" applyNumberFormat="1" applyFont="1" applyBorder="1" applyAlignment="1">
      <alignment horizontal="center" vertical="center"/>
      <protection/>
    </xf>
    <xf numFmtId="0" fontId="39" fillId="0" borderId="46" xfId="51" applyFont="1" applyBorder="1" applyAlignment="1">
      <alignment horizontal="center" vertical="center"/>
      <protection/>
    </xf>
    <xf numFmtId="0" fontId="39" fillId="0" borderId="43" xfId="51" applyFont="1" applyBorder="1" applyAlignment="1">
      <alignment vertical="center"/>
      <protection/>
    </xf>
    <xf numFmtId="4" fontId="39" fillId="0" borderId="44" xfId="51" applyNumberFormat="1" applyFont="1" applyFill="1" applyBorder="1" applyAlignment="1">
      <alignment vertical="center"/>
      <protection/>
    </xf>
    <xf numFmtId="4" fontId="39" fillId="0" borderId="50" xfId="51" applyNumberFormat="1" applyFont="1" applyFill="1" applyBorder="1" applyAlignment="1">
      <alignment vertical="center"/>
      <protection/>
    </xf>
    <xf numFmtId="0" fontId="1" fillId="0" borderId="73" xfId="51" applyFont="1" applyBorder="1" applyAlignment="1">
      <alignment horizontal="center" vertical="center"/>
      <protection/>
    </xf>
    <xf numFmtId="49" fontId="1" fillId="0" borderId="27" xfId="51" applyNumberFormat="1" applyFont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vertical="center"/>
      <protection/>
    </xf>
    <xf numFmtId="4" fontId="1" fillId="0" borderId="22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74" xfId="51" applyFont="1" applyBorder="1" applyAlignment="1">
      <alignment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74" xfId="52" applyFont="1" applyBorder="1" applyAlignment="1">
      <alignment vertical="center"/>
      <protection/>
    </xf>
    <xf numFmtId="0" fontId="39" fillId="0" borderId="66" xfId="52" applyFont="1" applyBorder="1" applyAlignment="1">
      <alignment horizontal="center" vertical="center"/>
      <protection/>
    </xf>
    <xf numFmtId="49" fontId="39" fillId="0" borderId="19" xfId="52" applyNumberFormat="1" applyFont="1" applyBorder="1" applyAlignment="1">
      <alignment horizontal="center" vertical="center"/>
      <protection/>
    </xf>
    <xf numFmtId="0" fontId="39" fillId="0" borderId="19" xfId="52" applyFont="1" applyBorder="1" applyAlignment="1">
      <alignment horizontal="center" vertical="center"/>
      <protection/>
    </xf>
    <xf numFmtId="0" fontId="39" fillId="0" borderId="18" xfId="52" applyFont="1" applyBorder="1" applyAlignment="1">
      <alignment vertical="center"/>
      <protection/>
    </xf>
    <xf numFmtId="4" fontId="39" fillId="0" borderId="21" xfId="51" applyNumberFormat="1" applyFont="1" applyFill="1" applyBorder="1" applyAlignment="1">
      <alignment vertical="center"/>
      <protection/>
    </xf>
    <xf numFmtId="4" fontId="39" fillId="0" borderId="17" xfId="51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39" fillId="0" borderId="66" xfId="51" applyFont="1" applyBorder="1" applyAlignment="1">
      <alignment horizontal="center" vertical="center"/>
      <protection/>
    </xf>
    <xf numFmtId="49" fontId="39" fillId="0" borderId="19" xfId="51" applyNumberFormat="1" applyFont="1" applyBorder="1" applyAlignment="1">
      <alignment horizontal="center" vertical="center"/>
      <protection/>
    </xf>
    <xf numFmtId="0" fontId="39" fillId="0" borderId="19" xfId="51" applyFont="1" applyBorder="1" applyAlignment="1">
      <alignment horizontal="center" vertical="center"/>
      <protection/>
    </xf>
    <xf numFmtId="0" fontId="39" fillId="0" borderId="18" xfId="51" applyFont="1" applyBorder="1" applyAlignment="1">
      <alignment vertical="center"/>
      <protection/>
    </xf>
    <xf numFmtId="49" fontId="1" fillId="0" borderId="19" xfId="51" applyNumberFormat="1" applyFont="1" applyBorder="1" applyAlignment="1">
      <alignment horizontal="center" vertical="center"/>
      <protection/>
    </xf>
    <xf numFmtId="0" fontId="1" fillId="0" borderId="20" xfId="51" applyFont="1" applyBorder="1" applyAlignment="1">
      <alignment vertical="center"/>
      <protection/>
    </xf>
    <xf numFmtId="0" fontId="39" fillId="0" borderId="66" xfId="51" applyFont="1" applyFill="1" applyBorder="1" applyAlignment="1">
      <alignment horizontal="center" vertical="center"/>
      <protection/>
    </xf>
    <xf numFmtId="0" fontId="39" fillId="0" borderId="75" xfId="51" applyFont="1" applyFill="1" applyBorder="1" applyAlignment="1">
      <alignment horizontal="center" vertical="center"/>
      <protection/>
    </xf>
    <xf numFmtId="49" fontId="39" fillId="0" borderId="69" xfId="51" applyNumberFormat="1" applyFont="1" applyBorder="1" applyAlignment="1">
      <alignment horizontal="center" vertical="center"/>
      <protection/>
    </xf>
    <xf numFmtId="0" fontId="1" fillId="0" borderId="69" xfId="51" applyFont="1" applyBorder="1" applyAlignment="1">
      <alignment horizontal="center"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4" fontId="1" fillId="0" borderId="76" xfId="51" applyNumberFormat="1" applyFont="1" applyFill="1" applyBorder="1" applyAlignment="1">
      <alignment vertical="center"/>
      <protection/>
    </xf>
    <xf numFmtId="0" fontId="1" fillId="0" borderId="66" xfId="51" applyFont="1" applyFill="1" applyBorder="1" applyAlignment="1">
      <alignment horizontal="center" vertical="center"/>
      <protection/>
    </xf>
    <xf numFmtId="0" fontId="39" fillId="0" borderId="73" xfId="51" applyFont="1" applyFill="1" applyBorder="1" applyAlignment="1">
      <alignment horizontal="center" vertical="center"/>
      <protection/>
    </xf>
    <xf numFmtId="49" fontId="39" fillId="0" borderId="27" xfId="51" applyNumberFormat="1" applyFont="1" applyBorder="1" applyAlignment="1">
      <alignment horizontal="center" vertical="center"/>
      <protection/>
    </xf>
    <xf numFmtId="0" fontId="39" fillId="0" borderId="27" xfId="51" applyFont="1" applyBorder="1" applyAlignment="1">
      <alignment horizontal="center" vertical="center"/>
      <protection/>
    </xf>
    <xf numFmtId="0" fontId="39" fillId="0" borderId="27" xfId="52" applyFont="1" applyBorder="1" applyAlignment="1">
      <alignment horizontal="center" vertical="center"/>
      <protection/>
    </xf>
    <xf numFmtId="0" fontId="39" fillId="0" borderId="15" xfId="52" applyFont="1" applyBorder="1" applyAlignment="1">
      <alignment vertical="center"/>
      <protection/>
    </xf>
    <xf numFmtId="4" fontId="39" fillId="0" borderId="14" xfId="52" applyNumberFormat="1" applyFont="1" applyFill="1" applyBorder="1" applyAlignment="1">
      <alignment vertical="center"/>
      <protection/>
    </xf>
    <xf numFmtId="4" fontId="39" fillId="0" borderId="37" xfId="51" applyNumberFormat="1" applyFont="1" applyFill="1" applyBorder="1" applyAlignment="1">
      <alignment vertical="center"/>
      <protection/>
    </xf>
    <xf numFmtId="4" fontId="39" fillId="0" borderId="14" xfId="51" applyNumberFormat="1" applyFont="1" applyFill="1" applyBorder="1" applyAlignment="1">
      <alignment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0" fontId="1" fillId="0" borderId="57" xfId="52" applyFont="1" applyBorder="1" applyAlignment="1">
      <alignment vertical="center"/>
      <protection/>
    </xf>
    <xf numFmtId="0" fontId="33" fillId="0" borderId="34" xfId="51" applyFont="1" applyFill="1" applyBorder="1" applyAlignment="1">
      <alignment horizontal="center" vertical="center"/>
      <protection/>
    </xf>
    <xf numFmtId="0" fontId="39" fillId="0" borderId="45" xfId="51" applyFont="1" applyFill="1" applyBorder="1" applyAlignment="1">
      <alignment horizontal="center" vertical="center"/>
      <protection/>
    </xf>
    <xf numFmtId="4" fontId="1" fillId="0" borderId="17" xfId="52" applyNumberFormat="1" applyFont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39" fillId="0" borderId="15" xfId="51" applyFont="1" applyBorder="1" applyAlignment="1">
      <alignment vertical="center"/>
      <protection/>
    </xf>
    <xf numFmtId="0" fontId="39" fillId="0" borderId="18" xfId="51" applyFont="1" applyBorder="1" applyAlignment="1">
      <alignment vertical="center" wrapText="1"/>
      <protection/>
    </xf>
    <xf numFmtId="2" fontId="1" fillId="17" borderId="60" xfId="51" applyNumberFormat="1" applyFont="1" applyFill="1" applyBorder="1" applyAlignment="1">
      <alignment horizontal="center" vertical="center"/>
      <protection/>
    </xf>
    <xf numFmtId="4" fontId="1" fillId="0" borderId="17" xfId="51" applyNumberFormat="1" applyFont="1" applyFill="1" applyBorder="1" applyAlignment="1">
      <alignment vertical="center" wrapText="1"/>
      <protection/>
    </xf>
    <xf numFmtId="4" fontId="1" fillId="0" borderId="14" xfId="51" applyNumberFormat="1" applyFont="1" applyFill="1" applyBorder="1" applyAlignment="1">
      <alignment/>
      <protection/>
    </xf>
    <xf numFmtId="0" fontId="39" fillId="0" borderId="18" xfId="51" applyFont="1" applyFill="1" applyBorder="1" applyAlignment="1">
      <alignment vertical="center"/>
      <protection/>
    </xf>
    <xf numFmtId="0" fontId="1" fillId="0" borderId="75" xfId="51" applyFont="1" applyBorder="1" applyAlignment="1">
      <alignment horizontal="center" vertical="center"/>
      <protection/>
    </xf>
    <xf numFmtId="49" fontId="1" fillId="0" borderId="69" xfId="51" applyNumberFormat="1" applyFont="1" applyBorder="1" applyAlignment="1">
      <alignment horizontal="center" vertical="center"/>
      <protection/>
    </xf>
    <xf numFmtId="0" fontId="1" fillId="0" borderId="15" xfId="51" applyFont="1" applyBorder="1" applyAlignment="1">
      <alignment vertical="center"/>
      <protection/>
    </xf>
    <xf numFmtId="4" fontId="1" fillId="0" borderId="76" xfId="51" applyNumberFormat="1" applyFont="1" applyFill="1" applyBorder="1" applyAlignment="1">
      <alignment vertical="center"/>
      <protection/>
    </xf>
    <xf numFmtId="0" fontId="39" fillId="0" borderId="73" xfId="51" applyFont="1" applyBorder="1" applyAlignment="1">
      <alignment horizontal="center" vertical="center"/>
      <protection/>
    </xf>
    <xf numFmtId="0" fontId="39" fillId="0" borderId="15" xfId="51" applyFont="1" applyBorder="1" applyAlignment="1">
      <alignment vertical="center" wrapText="1"/>
      <protection/>
    </xf>
    <xf numFmtId="0" fontId="39" fillId="0" borderId="73" xfId="52" applyFont="1" applyBorder="1" applyAlignment="1">
      <alignment horizontal="center" vertical="center"/>
      <protection/>
    </xf>
    <xf numFmtId="49" fontId="39" fillId="0" borderId="27" xfId="52" applyNumberFormat="1" applyFont="1" applyBorder="1" applyAlignment="1">
      <alignment horizontal="center" vertical="center"/>
      <protection/>
    </xf>
    <xf numFmtId="0" fontId="39" fillId="0" borderId="15" xfId="52" applyFont="1" applyBorder="1" applyAlignment="1">
      <alignment vertical="center" wrapText="1"/>
      <protection/>
    </xf>
    <xf numFmtId="49" fontId="1" fillId="0" borderId="19" xfId="52" applyNumberFormat="1" applyFont="1" applyBorder="1" applyAlignment="1">
      <alignment horizontal="center" vertical="center"/>
      <protection/>
    </xf>
    <xf numFmtId="0" fontId="1" fillId="0" borderId="66" xfId="52" applyFont="1" applyBorder="1" applyAlignment="1">
      <alignment horizontal="center" vertical="center"/>
      <protection/>
    </xf>
    <xf numFmtId="0" fontId="1" fillId="0" borderId="54" xfId="52" applyFont="1" applyBorder="1" applyAlignment="1">
      <alignment horizontal="center" vertical="center"/>
      <protection/>
    </xf>
    <xf numFmtId="49" fontId="1" fillId="0" borderId="53" xfId="52" applyNumberFormat="1" applyFont="1" applyBorder="1" applyAlignment="1">
      <alignment horizontal="center" vertical="center"/>
      <protection/>
    </xf>
    <xf numFmtId="4" fontId="1" fillId="0" borderId="64" xfId="51" applyNumberFormat="1" applyFont="1" applyFill="1" applyBorder="1" applyAlignment="1">
      <alignment vertical="center"/>
      <protection/>
    </xf>
    <xf numFmtId="49" fontId="33" fillId="0" borderId="50" xfId="51" applyNumberFormat="1" applyFont="1" applyFill="1" applyBorder="1" applyAlignment="1">
      <alignment horizontal="center" vertical="center"/>
      <protection/>
    </xf>
    <xf numFmtId="0" fontId="33" fillId="0" borderId="46" xfId="51" applyFont="1" applyFill="1" applyBorder="1" applyAlignment="1">
      <alignment horizontal="center" vertical="center"/>
      <protection/>
    </xf>
    <xf numFmtId="49" fontId="33" fillId="0" borderId="46" xfId="51" applyNumberFormat="1" applyFont="1" applyFill="1" applyBorder="1" applyAlignment="1">
      <alignment horizontal="center" vertical="center"/>
      <protection/>
    </xf>
    <xf numFmtId="0" fontId="33" fillId="0" borderId="46" xfId="51" applyFont="1" applyFill="1" applyBorder="1" applyAlignment="1">
      <alignment horizontal="center" vertical="center" wrapText="1"/>
      <protection/>
    </xf>
    <xf numFmtId="4" fontId="33" fillId="0" borderId="44" xfId="51" applyNumberFormat="1" applyFont="1" applyFill="1" applyBorder="1" applyAlignment="1">
      <alignment vertical="center" wrapText="1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31" xfId="51" applyFont="1" applyFill="1" applyBorder="1" applyAlignment="1">
      <alignment horizontal="center" vertical="center"/>
      <protection/>
    </xf>
    <xf numFmtId="49" fontId="1" fillId="0" borderId="53" xfId="51" applyNumberFormat="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1" fillId="0" borderId="57" xfId="51" applyNumberFormat="1" applyFont="1" applyFill="1" applyBorder="1" applyAlignment="1">
      <alignment horizontal="center" vertical="center"/>
      <protection/>
    </xf>
    <xf numFmtId="0" fontId="38" fillId="0" borderId="57" xfId="48" applyFont="1" applyFill="1" applyBorder="1" applyAlignment="1">
      <alignment vertical="center" wrapText="1"/>
      <protection/>
    </xf>
    <xf numFmtId="173" fontId="0" fillId="0" borderId="0" xfId="52" applyNumberFormat="1" applyFont="1" applyFill="1" applyAlignment="1">
      <alignment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" fontId="4" fillId="24" borderId="11" xfId="52" applyNumberFormat="1" applyFont="1" applyFill="1" applyBorder="1" applyAlignment="1">
      <alignment vertical="center"/>
      <protection/>
    </xf>
    <xf numFmtId="4" fontId="4" fillId="0" borderId="11" xfId="52" applyNumberFormat="1" applyFont="1" applyFill="1" applyBorder="1" applyAlignment="1">
      <alignment vertical="center"/>
      <protection/>
    </xf>
    <xf numFmtId="4" fontId="1" fillId="0" borderId="21" xfId="52" applyNumberFormat="1" applyFont="1" applyFill="1" applyBorder="1" applyAlignment="1">
      <alignment vertical="center" wrapText="1"/>
      <protection/>
    </xf>
    <xf numFmtId="4" fontId="1" fillId="0" borderId="39" xfId="52" applyNumberFormat="1" applyFont="1" applyFill="1" applyBorder="1" applyAlignment="1">
      <alignment vertical="center" wrapText="1"/>
      <protection/>
    </xf>
    <xf numFmtId="4" fontId="33" fillId="0" borderId="51" xfId="52" applyNumberFormat="1" applyFont="1" applyFill="1" applyBorder="1" applyAlignment="1">
      <alignment vertical="center" wrapText="1"/>
      <protection/>
    </xf>
    <xf numFmtId="4" fontId="4" fillId="0" borderId="39" xfId="52" applyNumberFormat="1" applyFont="1" applyFill="1" applyBorder="1" applyAlignment="1">
      <alignment vertical="center"/>
      <protection/>
    </xf>
    <xf numFmtId="173" fontId="4" fillId="0" borderId="77" xfId="5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49" fontId="4" fillId="0" borderId="78" xfId="52" applyNumberFormat="1" applyFont="1" applyFill="1" applyBorder="1" applyAlignment="1">
      <alignment horizontal="center" vertical="center"/>
      <protection/>
    </xf>
    <xf numFmtId="49" fontId="4" fillId="0" borderId="33" xfId="52" applyNumberFormat="1" applyFont="1" applyFill="1" applyBorder="1" applyAlignment="1">
      <alignment horizontal="center" vertical="center"/>
      <protection/>
    </xf>
    <xf numFmtId="0" fontId="4" fillId="0" borderId="70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" fillId="0" borderId="79" xfId="52" applyFont="1" applyFill="1" applyBorder="1" applyAlignment="1">
      <alignment horizontal="center" vertical="center"/>
      <protection/>
    </xf>
    <xf numFmtId="0" fontId="4" fillId="0" borderId="58" xfId="52" applyFont="1" applyFill="1" applyBorder="1" applyAlignment="1">
      <alignment horizontal="center" vertical="center"/>
      <protection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80" xfId="52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81" xfId="51" applyNumberFormat="1" applyFont="1" applyBorder="1" applyAlignment="1">
      <alignment horizontal="center" vertical="center"/>
      <protection/>
    </xf>
    <xf numFmtId="49" fontId="4" fillId="0" borderId="47" xfId="51" applyNumberFormat="1" applyFont="1" applyBorder="1" applyAlignment="1">
      <alignment horizontal="center" vertical="center"/>
      <protection/>
    </xf>
    <xf numFmtId="0" fontId="4" fillId="0" borderId="81" xfId="51" applyFont="1" applyBorder="1" applyAlignment="1">
      <alignment horizontal="center" vertical="center"/>
      <protection/>
    </xf>
    <xf numFmtId="0" fontId="4" fillId="0" borderId="82" xfId="51" applyFont="1" applyBorder="1" applyAlignment="1">
      <alignment horizontal="center" vertical="center"/>
      <protection/>
    </xf>
    <xf numFmtId="0" fontId="4" fillId="0" borderId="70" xfId="51" applyFont="1" applyBorder="1" applyAlignment="1">
      <alignment horizontal="center" vertical="center"/>
      <protection/>
    </xf>
    <xf numFmtId="0" fontId="4" fillId="0" borderId="60" xfId="51" applyFont="1" applyBorder="1" applyAlignment="1">
      <alignment horizontal="center" vertical="center"/>
      <protection/>
    </xf>
    <xf numFmtId="0" fontId="4" fillId="0" borderId="71" xfId="51" applyFont="1" applyBorder="1" applyAlignment="1">
      <alignment horizontal="center" vertical="center"/>
      <protection/>
    </xf>
    <xf numFmtId="0" fontId="4" fillId="0" borderId="61" xfId="51" applyFont="1" applyBorder="1" applyAlignment="1">
      <alignment horizontal="center" vertical="center"/>
      <protection/>
    </xf>
    <xf numFmtId="0" fontId="4" fillId="0" borderId="78" xfId="51" applyFont="1" applyBorder="1" applyAlignment="1">
      <alignment horizontal="center" vertical="center"/>
      <protection/>
    </xf>
    <xf numFmtId="0" fontId="4" fillId="0" borderId="39" xfId="51" applyFont="1" applyBorder="1" applyAlignment="1">
      <alignment horizontal="center" vertical="center"/>
      <protection/>
    </xf>
    <xf numFmtId="0" fontId="4" fillId="0" borderId="80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0" fontId="1" fillId="0" borderId="80" xfId="51" applyFont="1" applyBorder="1" applyAlignment="1">
      <alignment horizontal="center" vertical="center" textRotation="90" wrapText="1"/>
      <protection/>
    </xf>
    <xf numFmtId="0" fontId="1" fillId="0" borderId="41" xfId="51" applyFont="1" applyBorder="1" applyAlignment="1">
      <alignment horizontal="center" vertical="center" textRotation="90" wrapText="1"/>
      <protection/>
    </xf>
    <xf numFmtId="0" fontId="1" fillId="0" borderId="29" xfId="51" applyFont="1" applyBorder="1" applyAlignment="1">
      <alignment horizontal="center" vertical="center" textRotation="90" wrapText="1"/>
      <protection/>
    </xf>
    <xf numFmtId="49" fontId="4" fillId="0" borderId="80" xfId="53" applyNumberFormat="1" applyFont="1" applyBorder="1" applyAlignment="1">
      <alignment horizontal="center" vertical="center"/>
      <protection/>
    </xf>
    <xf numFmtId="49" fontId="4" fillId="0" borderId="29" xfId="53" applyNumberFormat="1" applyFont="1" applyBorder="1" applyAlignment="1">
      <alignment horizontal="center" vertical="center"/>
      <protection/>
    </xf>
    <xf numFmtId="0" fontId="4" fillId="0" borderId="81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1" fillId="0" borderId="80" xfId="53" applyFont="1" applyBorder="1" applyAlignment="1">
      <alignment horizontal="center" vertical="center" textRotation="90" wrapText="1"/>
      <protection/>
    </xf>
    <xf numFmtId="0" fontId="1" fillId="0" borderId="41" xfId="53" applyFont="1" applyBorder="1" applyAlignment="1">
      <alignment horizontal="center" vertical="center" textRotation="90" wrapText="1"/>
      <protection/>
    </xf>
    <xf numFmtId="0" fontId="1" fillId="0" borderId="29" xfId="53" applyFont="1" applyBorder="1" applyAlignment="1">
      <alignment horizontal="center" vertical="center" textRotation="90" wrapText="1"/>
      <protection/>
    </xf>
    <xf numFmtId="0" fontId="31" fillId="0" borderId="0" xfId="50" applyFont="1" applyAlignment="1">
      <alignment horizontal="center" vertical="center"/>
      <protection/>
    </xf>
    <xf numFmtId="0" fontId="4" fillId="0" borderId="70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4" fillId="0" borderId="70" xfId="53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77" xfId="53" applyFont="1" applyBorder="1" applyAlignment="1">
      <alignment horizontal="center" vertical="center"/>
      <protection/>
    </xf>
    <xf numFmtId="0" fontId="4" fillId="0" borderId="65" xfId="53" applyFont="1" applyBorder="1" applyAlignment="1">
      <alignment horizontal="center" vertical="center"/>
      <protection/>
    </xf>
    <xf numFmtId="0" fontId="4" fillId="0" borderId="80" xfId="53" applyFont="1" applyBorder="1" applyAlignment="1">
      <alignment horizontal="center" vertical="center"/>
      <protection/>
    </xf>
    <xf numFmtId="0" fontId="4" fillId="0" borderId="29" xfId="53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2 - ORREP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zoomScalePageLayoutView="0" workbookViewId="0" topLeftCell="A25">
      <selection activeCell="H45" sqref="H45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3" width="12.8515625" style="2" customWidth="1"/>
    <col min="4" max="4" width="14.28125" style="2" bestFit="1" customWidth="1"/>
    <col min="5" max="5" width="13.140625" style="2" bestFit="1" customWidth="1"/>
    <col min="6" max="6" width="14.28125" style="2" bestFit="1" customWidth="1"/>
    <col min="7" max="16384" width="9.140625" style="2" customWidth="1"/>
  </cols>
  <sheetData>
    <row r="1" spans="1:6" ht="20.25">
      <c r="A1" s="399" t="s">
        <v>70</v>
      </c>
      <c r="B1" s="399"/>
      <c r="C1" s="399"/>
      <c r="D1" s="399"/>
      <c r="E1" s="399"/>
      <c r="F1" s="399"/>
    </row>
    <row r="2" ht="18" customHeight="1"/>
    <row r="3" spans="1:6" ht="16.5" customHeight="1">
      <c r="A3" s="400" t="s">
        <v>30</v>
      </c>
      <c r="B3" s="400"/>
      <c r="C3" s="400"/>
      <c r="D3" s="400"/>
      <c r="E3" s="400"/>
      <c r="F3" s="400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71</v>
      </c>
      <c r="D5" s="27" t="s">
        <v>72</v>
      </c>
      <c r="E5" s="5" t="s">
        <v>0</v>
      </c>
      <c r="F5" s="6" t="s">
        <v>73</v>
      </c>
    </row>
    <row r="6" spans="1:6" ht="15" customHeight="1">
      <c r="A6" s="40" t="s">
        <v>9</v>
      </c>
      <c r="B6" s="7" t="s">
        <v>23</v>
      </c>
      <c r="C6" s="8">
        <f>C7+C8+C9</f>
        <v>3035587.23</v>
      </c>
      <c r="D6" s="207">
        <f>D7+D8+D9</f>
        <v>3138639.83</v>
      </c>
      <c r="E6" s="275">
        <f>SUM(E7:E9)</f>
        <v>940.5000000000001</v>
      </c>
      <c r="F6" s="9">
        <f>SUM(F7:F9)</f>
        <v>3139580.33</v>
      </c>
    </row>
    <row r="7" spans="1:6" ht="15" customHeight="1">
      <c r="A7" s="17" t="s">
        <v>53</v>
      </c>
      <c r="B7" s="10" t="s">
        <v>10</v>
      </c>
      <c r="C7" s="11">
        <v>2960700</v>
      </c>
      <c r="D7" s="12">
        <v>2965582.22</v>
      </c>
      <c r="E7" s="276">
        <f>'příjmy OD'!J8</f>
        <v>44</v>
      </c>
      <c r="F7" s="13">
        <f aca="true" t="shared" si="0" ref="F7:F25">D7+E7</f>
        <v>2965626.22</v>
      </c>
    </row>
    <row r="8" spans="1:6" ht="15" customHeight="1">
      <c r="A8" s="17" t="s">
        <v>54</v>
      </c>
      <c r="B8" s="10" t="s">
        <v>11</v>
      </c>
      <c r="C8" s="11">
        <v>74887.23</v>
      </c>
      <c r="D8" s="12">
        <v>139016.09999999998</v>
      </c>
      <c r="E8" s="276">
        <f>'příjmy OD'!J12</f>
        <v>545.3900000000001</v>
      </c>
      <c r="F8" s="13">
        <f t="shared" si="0"/>
        <v>139561.49</v>
      </c>
    </row>
    <row r="9" spans="1:6" ht="15" customHeight="1">
      <c r="A9" s="17" t="s">
        <v>55</v>
      </c>
      <c r="B9" s="10" t="s">
        <v>12</v>
      </c>
      <c r="C9" s="11">
        <v>0</v>
      </c>
      <c r="D9" s="12">
        <v>34041.509999999995</v>
      </c>
      <c r="E9" s="276">
        <f>'příjmy OD'!J32</f>
        <v>351.11</v>
      </c>
      <c r="F9" s="13">
        <f t="shared" si="0"/>
        <v>34392.619999999995</v>
      </c>
    </row>
    <row r="10" spans="1:6" ht="15" customHeight="1">
      <c r="A10" s="41" t="s">
        <v>56</v>
      </c>
      <c r="B10" s="10" t="s">
        <v>13</v>
      </c>
      <c r="C10" s="15">
        <f>C11+C17</f>
        <v>97103.26999999999</v>
      </c>
      <c r="D10" s="208">
        <f>D11+D17</f>
        <v>6048554.550000001</v>
      </c>
      <c r="E10" s="277">
        <f>E11+E17</f>
        <v>0</v>
      </c>
      <c r="F10" s="16">
        <f>F11+F17</f>
        <v>6048554.550000001</v>
      </c>
    </row>
    <row r="11" spans="1:6" ht="15" customHeight="1">
      <c r="A11" s="17" t="s">
        <v>57</v>
      </c>
      <c r="B11" s="10" t="s">
        <v>14</v>
      </c>
      <c r="C11" s="11">
        <f>SUM(C12:C16)</f>
        <v>97103.26999999999</v>
      </c>
      <c r="D11" s="12">
        <f>SUM(D12:D16)</f>
        <v>5845333.040000001</v>
      </c>
      <c r="E11" s="278">
        <f>SUM(E12:E16)</f>
        <v>0</v>
      </c>
      <c r="F11" s="13">
        <f>SUM(F12:F16)</f>
        <v>5845333.040000001</v>
      </c>
    </row>
    <row r="12" spans="1:6" ht="15" customHeight="1">
      <c r="A12" s="17" t="s">
        <v>60</v>
      </c>
      <c r="B12" s="10" t="s">
        <v>15</v>
      </c>
      <c r="C12" s="11">
        <v>70970.2</v>
      </c>
      <c r="D12" s="12">
        <v>70970.2</v>
      </c>
      <c r="E12" s="276"/>
      <c r="F12" s="13">
        <f t="shared" si="0"/>
        <v>70970.2</v>
      </c>
    </row>
    <row r="13" spans="1:6" ht="15" customHeight="1">
      <c r="A13" s="17" t="s">
        <v>58</v>
      </c>
      <c r="B13" s="10" t="s">
        <v>14</v>
      </c>
      <c r="C13" s="18">
        <v>0</v>
      </c>
      <c r="D13" s="12">
        <v>5747293.53</v>
      </c>
      <c r="E13" s="276">
        <f>'příjmy OD'!J35</f>
        <v>0</v>
      </c>
      <c r="F13" s="13">
        <f>D13+E13</f>
        <v>5747293.53</v>
      </c>
    </row>
    <row r="14" spans="1:6" ht="15" customHeight="1">
      <c r="A14" s="17" t="s">
        <v>59</v>
      </c>
      <c r="B14" s="10" t="s">
        <v>33</v>
      </c>
      <c r="C14" s="18">
        <v>0</v>
      </c>
      <c r="D14" s="12">
        <v>716.19</v>
      </c>
      <c r="E14" s="276"/>
      <c r="F14" s="13">
        <f>D14+E14</f>
        <v>716.19</v>
      </c>
    </row>
    <row r="15" spans="1:6" ht="15" customHeight="1">
      <c r="A15" s="17" t="s">
        <v>61</v>
      </c>
      <c r="B15" s="10">
        <v>4121</v>
      </c>
      <c r="C15" s="18">
        <v>26133.07</v>
      </c>
      <c r="D15" s="12">
        <v>26353.12</v>
      </c>
      <c r="E15" s="276"/>
      <c r="F15" s="13">
        <f t="shared" si="0"/>
        <v>26353.12</v>
      </c>
    </row>
    <row r="16" spans="1:6" ht="15" customHeight="1">
      <c r="A16" s="17" t="s">
        <v>68</v>
      </c>
      <c r="B16" s="10">
        <v>4123</v>
      </c>
      <c r="C16" s="18">
        <v>0</v>
      </c>
      <c r="D16" s="12">
        <v>0</v>
      </c>
      <c r="E16" s="276"/>
      <c r="F16" s="13">
        <f t="shared" si="0"/>
        <v>0</v>
      </c>
    </row>
    <row r="17" spans="1:6" ht="15" customHeight="1">
      <c r="A17" s="17" t="s">
        <v>65</v>
      </c>
      <c r="B17" s="10" t="s">
        <v>16</v>
      </c>
      <c r="C17" s="18">
        <f>SUM(C18:C21)</f>
        <v>0</v>
      </c>
      <c r="D17" s="12">
        <f>SUM(D18:D21)</f>
        <v>203221.50999999998</v>
      </c>
      <c r="E17" s="279">
        <f>SUM(E18:E21)</f>
        <v>0</v>
      </c>
      <c r="F17" s="13">
        <f>SUM(F18:F21)</f>
        <v>203221.50999999998</v>
      </c>
    </row>
    <row r="18" spans="1:6" ht="15" customHeight="1">
      <c r="A18" s="17" t="s">
        <v>66</v>
      </c>
      <c r="B18" s="10" t="s">
        <v>16</v>
      </c>
      <c r="C18" s="18">
        <v>0</v>
      </c>
      <c r="D18" s="12">
        <v>198009.99</v>
      </c>
      <c r="E18" s="279">
        <f>'příjmy OD'!J42</f>
        <v>0</v>
      </c>
      <c r="F18" s="13">
        <f t="shared" si="0"/>
        <v>198009.99</v>
      </c>
    </row>
    <row r="19" spans="1:6" ht="15" customHeight="1">
      <c r="A19" s="17" t="s">
        <v>64</v>
      </c>
      <c r="B19" s="10">
        <v>4221</v>
      </c>
      <c r="C19" s="18">
        <v>0</v>
      </c>
      <c r="D19" s="12">
        <v>1870.97</v>
      </c>
      <c r="E19" s="279"/>
      <c r="F19" s="13">
        <f>D19+E19</f>
        <v>1870.97</v>
      </c>
    </row>
    <row r="20" spans="1:6" ht="15" customHeight="1">
      <c r="A20" s="17" t="s">
        <v>67</v>
      </c>
      <c r="B20" s="10">
        <v>4223</v>
      </c>
      <c r="C20" s="18">
        <v>0</v>
      </c>
      <c r="D20" s="12">
        <v>0</v>
      </c>
      <c r="E20" s="279">
        <f>'příjmy OD'!J63</f>
        <v>0</v>
      </c>
      <c r="F20" s="13">
        <f>D20+E20</f>
        <v>0</v>
      </c>
    </row>
    <row r="21" spans="1:6" ht="15" customHeight="1">
      <c r="A21" s="17" t="s">
        <v>62</v>
      </c>
      <c r="B21" s="10" t="s">
        <v>63</v>
      </c>
      <c r="C21" s="18">
        <v>0</v>
      </c>
      <c r="D21" s="12">
        <v>3340.55</v>
      </c>
      <c r="E21" s="279"/>
      <c r="F21" s="13">
        <f>D21+E21</f>
        <v>3340.55</v>
      </c>
    </row>
    <row r="22" spans="1:6" ht="15" customHeight="1">
      <c r="A22" s="14" t="s">
        <v>17</v>
      </c>
      <c r="B22" s="19" t="s">
        <v>24</v>
      </c>
      <c r="C22" s="15">
        <f>C6+C10</f>
        <v>3132690.5</v>
      </c>
      <c r="D22" s="208">
        <f>D6+D10</f>
        <v>9187194.38</v>
      </c>
      <c r="E22" s="277">
        <f>E6+E10</f>
        <v>940.5000000000001</v>
      </c>
      <c r="F22" s="16">
        <f>F6+F10</f>
        <v>9188134.88</v>
      </c>
    </row>
    <row r="23" spans="1:6" ht="15" customHeight="1">
      <c r="A23" s="14" t="s">
        <v>18</v>
      </c>
      <c r="B23" s="19" t="s">
        <v>19</v>
      </c>
      <c r="C23" s="15">
        <f>SUM(C24:C26)</f>
        <v>-96875</v>
      </c>
      <c r="D23" s="208">
        <f>SUM(D24:D26)</f>
        <v>1951508.7400000002</v>
      </c>
      <c r="E23" s="277">
        <f>SUM(E24:E26)</f>
        <v>0</v>
      </c>
      <c r="F23" s="20">
        <f>SUM(F24:F26)</f>
        <v>1951508.7400000002</v>
      </c>
    </row>
    <row r="24" spans="1:6" ht="15" customHeight="1">
      <c r="A24" s="17" t="s">
        <v>74</v>
      </c>
      <c r="B24" s="10" t="s">
        <v>20</v>
      </c>
      <c r="C24" s="18">
        <v>0</v>
      </c>
      <c r="D24" s="12">
        <v>111779.24</v>
      </c>
      <c r="E24" s="279"/>
      <c r="F24" s="13">
        <f t="shared" si="0"/>
        <v>111779.24</v>
      </c>
    </row>
    <row r="25" spans="1:7" ht="15" customHeight="1">
      <c r="A25" s="17" t="s">
        <v>75</v>
      </c>
      <c r="B25" s="10" t="s">
        <v>20</v>
      </c>
      <c r="C25" s="18">
        <v>0</v>
      </c>
      <c r="D25" s="12">
        <v>1986604.5</v>
      </c>
      <c r="E25" s="279"/>
      <c r="F25" s="13">
        <f t="shared" si="0"/>
        <v>1986604.5</v>
      </c>
      <c r="G25" s="38"/>
    </row>
    <row r="26" spans="1:6" ht="15" customHeight="1" thickBot="1">
      <c r="A26" s="39" t="s">
        <v>76</v>
      </c>
      <c r="B26" s="10">
        <v>-8124</v>
      </c>
      <c r="C26" s="18">
        <v>-96875</v>
      </c>
      <c r="D26" s="269">
        <v>-146875</v>
      </c>
      <c r="E26" s="279"/>
      <c r="F26" s="13">
        <f>D26+E26</f>
        <v>-146875</v>
      </c>
    </row>
    <row r="27" spans="1:6" ht="15" customHeight="1" thickBot="1">
      <c r="A27" s="21" t="s">
        <v>21</v>
      </c>
      <c r="B27" s="22"/>
      <c r="C27" s="23">
        <f>C23+C10+C6</f>
        <v>3035815.5</v>
      </c>
      <c r="D27" s="24">
        <f>D23+D10+D6</f>
        <v>11138703.120000001</v>
      </c>
      <c r="E27" s="280">
        <f>E6+E10+E23</f>
        <v>940.5000000000001</v>
      </c>
      <c r="F27" s="25">
        <f>D27+E27</f>
        <v>11139643.620000001</v>
      </c>
    </row>
    <row r="29" ht="9.75">
      <c r="E29" s="206"/>
    </row>
    <row r="30" spans="1:6" ht="17.25">
      <c r="A30" s="400" t="s">
        <v>31</v>
      </c>
      <c r="B30" s="400"/>
      <c r="C30" s="400"/>
      <c r="D30" s="400"/>
      <c r="E30" s="400"/>
      <c r="F30" s="400"/>
    </row>
    <row r="31" spans="1:6" ht="12" customHeight="1" thickBot="1">
      <c r="A31" s="1"/>
      <c r="B31" s="1"/>
      <c r="C31" s="1"/>
      <c r="D31" s="1"/>
      <c r="E31" s="1"/>
      <c r="F31" s="1"/>
    </row>
    <row r="32" spans="1:6" ht="15" customHeight="1" thickBot="1">
      <c r="A32" s="26" t="s">
        <v>25</v>
      </c>
      <c r="B32" s="27" t="s">
        <v>2</v>
      </c>
      <c r="C32" s="5" t="s">
        <v>71</v>
      </c>
      <c r="D32" s="27" t="s">
        <v>72</v>
      </c>
      <c r="E32" s="5" t="s">
        <v>0</v>
      </c>
      <c r="F32" s="6" t="s">
        <v>73</v>
      </c>
    </row>
    <row r="33" spans="1:6" ht="15" customHeight="1">
      <c r="A33" s="28" t="s">
        <v>36</v>
      </c>
      <c r="B33" s="29" t="s">
        <v>26</v>
      </c>
      <c r="C33" s="30">
        <v>31838.7</v>
      </c>
      <c r="D33" s="209">
        <v>31838.7</v>
      </c>
      <c r="E33" s="281"/>
      <c r="F33" s="31">
        <f>D33+E33</f>
        <v>31838.7</v>
      </c>
    </row>
    <row r="34" spans="1:6" ht="15" customHeight="1">
      <c r="A34" s="32" t="s">
        <v>37</v>
      </c>
      <c r="B34" s="33" t="s">
        <v>26</v>
      </c>
      <c r="C34" s="12">
        <v>293544.42</v>
      </c>
      <c r="D34" s="12">
        <v>294461.07</v>
      </c>
      <c r="E34" s="281"/>
      <c r="F34" s="31">
        <f>D34+E34</f>
        <v>294461.07</v>
      </c>
    </row>
    <row r="35" spans="1:6" ht="15" customHeight="1">
      <c r="A35" s="32" t="s">
        <v>38</v>
      </c>
      <c r="B35" s="33" t="s">
        <v>28</v>
      </c>
      <c r="C35" s="12">
        <v>39850</v>
      </c>
      <c r="D35" s="12">
        <v>227731.85</v>
      </c>
      <c r="E35" s="281"/>
      <c r="F35" s="31">
        <f>D35+E35</f>
        <v>227731.85</v>
      </c>
    </row>
    <row r="36" spans="1:6" ht="15" customHeight="1">
      <c r="A36" s="32" t="s">
        <v>39</v>
      </c>
      <c r="B36" s="33" t="s">
        <v>26</v>
      </c>
      <c r="C36" s="12">
        <v>1043445.62</v>
      </c>
      <c r="D36" s="12">
        <v>1031586.96</v>
      </c>
      <c r="E36" s="281"/>
      <c r="F36" s="31">
        <f aca="true" t="shared" si="1" ref="F36:F49">D36+E36</f>
        <v>1031586.96</v>
      </c>
    </row>
    <row r="37" spans="1:6" ht="15" customHeight="1">
      <c r="A37" s="32" t="s">
        <v>40</v>
      </c>
      <c r="B37" s="33" t="s">
        <v>26</v>
      </c>
      <c r="C37" s="12">
        <v>750740.06</v>
      </c>
      <c r="D37" s="12">
        <v>953166.1400000001</v>
      </c>
      <c r="E37" s="282">
        <f>'914 06'!I9</f>
        <v>-4482</v>
      </c>
      <c r="F37" s="31">
        <f>D37+E37</f>
        <v>948684.1400000001</v>
      </c>
    </row>
    <row r="38" spans="1:6" ht="15" customHeight="1">
      <c r="A38" s="32" t="s">
        <v>41</v>
      </c>
      <c r="B38" s="33" t="s">
        <v>26</v>
      </c>
      <c r="C38" s="12">
        <v>0</v>
      </c>
      <c r="D38" s="12">
        <v>4849135.94</v>
      </c>
      <c r="E38" s="282"/>
      <c r="F38" s="31">
        <f>D38+E38</f>
        <v>4849135.94</v>
      </c>
    </row>
    <row r="39" spans="1:6" ht="15" customHeight="1">
      <c r="A39" s="32" t="s">
        <v>42</v>
      </c>
      <c r="B39" s="33" t="s">
        <v>28</v>
      </c>
      <c r="C39" s="12">
        <v>119012.32</v>
      </c>
      <c r="D39" s="12">
        <v>808663.0400000003</v>
      </c>
      <c r="E39" s="282"/>
      <c r="F39" s="31">
        <f>D39+E39</f>
        <v>808663.0400000003</v>
      </c>
    </row>
    <row r="40" spans="1:6" ht="15" customHeight="1">
      <c r="A40" s="32" t="s">
        <v>43</v>
      </c>
      <c r="B40" s="33" t="s">
        <v>26</v>
      </c>
      <c r="C40" s="12">
        <v>58150</v>
      </c>
      <c r="D40" s="12">
        <v>128987.12</v>
      </c>
      <c r="E40" s="282"/>
      <c r="F40" s="31">
        <f>D40+E40</f>
        <v>128987.12</v>
      </c>
    </row>
    <row r="41" spans="1:6" ht="15" customHeight="1">
      <c r="A41" s="32" t="s">
        <v>44</v>
      </c>
      <c r="B41" s="33" t="s">
        <v>27</v>
      </c>
      <c r="C41" s="12">
        <v>236397.78</v>
      </c>
      <c r="D41" s="12">
        <v>1022106.6000000001</v>
      </c>
      <c r="E41" s="282"/>
      <c r="F41" s="31">
        <f>D41+E41</f>
        <v>1022106.6000000001</v>
      </c>
    </row>
    <row r="42" spans="1:6" ht="15" customHeight="1">
      <c r="A42" s="32" t="s">
        <v>45</v>
      </c>
      <c r="B42" s="33" t="s">
        <v>27</v>
      </c>
      <c r="C42" s="12">
        <v>0</v>
      </c>
      <c r="D42" s="210">
        <v>0</v>
      </c>
      <c r="E42" s="282"/>
      <c r="F42" s="31">
        <f t="shared" si="1"/>
        <v>0</v>
      </c>
    </row>
    <row r="43" spans="1:6" ht="15" customHeight="1">
      <c r="A43" s="32" t="s">
        <v>46</v>
      </c>
      <c r="B43" s="33" t="s">
        <v>28</v>
      </c>
      <c r="C43" s="12">
        <v>300946.4</v>
      </c>
      <c r="D43" s="12">
        <v>1494360.04</v>
      </c>
      <c r="E43" s="282">
        <f>'923 06'!J9</f>
        <v>5422.5</v>
      </c>
      <c r="F43" s="31">
        <f t="shared" si="1"/>
        <v>1499782.54</v>
      </c>
    </row>
    <row r="44" spans="1:8" ht="15" customHeight="1">
      <c r="A44" s="32" t="s">
        <v>47</v>
      </c>
      <c r="B44" s="33" t="s">
        <v>28</v>
      </c>
      <c r="C44" s="12">
        <v>15500</v>
      </c>
      <c r="D44" s="210">
        <v>15500</v>
      </c>
      <c r="E44" s="281"/>
      <c r="F44" s="31">
        <f t="shared" si="1"/>
        <v>15500</v>
      </c>
      <c r="H44" s="34"/>
    </row>
    <row r="45" spans="1:8" ht="15" customHeight="1">
      <c r="A45" s="32" t="s">
        <v>48</v>
      </c>
      <c r="B45" s="33" t="s">
        <v>26</v>
      </c>
      <c r="C45" s="12">
        <v>7390.2</v>
      </c>
      <c r="D45" s="210">
        <v>11008.82</v>
      </c>
      <c r="E45" s="281"/>
      <c r="F45" s="31">
        <f t="shared" si="1"/>
        <v>11008.82</v>
      </c>
      <c r="H45" s="34"/>
    </row>
    <row r="46" spans="1:6" ht="15" customHeight="1">
      <c r="A46" s="32" t="s">
        <v>49</v>
      </c>
      <c r="B46" s="33" t="s">
        <v>28</v>
      </c>
      <c r="C46" s="12">
        <v>100000</v>
      </c>
      <c r="D46" s="210">
        <v>166413.18</v>
      </c>
      <c r="E46" s="281"/>
      <c r="F46" s="31">
        <f t="shared" si="1"/>
        <v>166413.18</v>
      </c>
    </row>
    <row r="47" spans="1:6" ht="15" customHeight="1">
      <c r="A47" s="32" t="s">
        <v>50</v>
      </c>
      <c r="B47" s="33" t="s">
        <v>28</v>
      </c>
      <c r="C47" s="12">
        <v>5000</v>
      </c>
      <c r="D47" s="12">
        <v>12363.960000000001</v>
      </c>
      <c r="E47" s="281"/>
      <c r="F47" s="31">
        <f t="shared" si="1"/>
        <v>12363.960000000001</v>
      </c>
    </row>
    <row r="48" spans="1:6" ht="15" customHeight="1">
      <c r="A48" s="32" t="s">
        <v>51</v>
      </c>
      <c r="B48" s="33" t="s">
        <v>28</v>
      </c>
      <c r="C48" s="12">
        <v>30000</v>
      </c>
      <c r="D48" s="210">
        <v>86065.55</v>
      </c>
      <c r="E48" s="281"/>
      <c r="F48" s="31">
        <f t="shared" si="1"/>
        <v>86065.55</v>
      </c>
    </row>
    <row r="49" spans="1:6" ht="15" customHeight="1" thickBot="1">
      <c r="A49" s="32" t="s">
        <v>52</v>
      </c>
      <c r="B49" s="33" t="s">
        <v>28</v>
      </c>
      <c r="C49" s="12">
        <v>4000</v>
      </c>
      <c r="D49" s="210">
        <v>5314.15</v>
      </c>
      <c r="E49" s="281"/>
      <c r="F49" s="31">
        <f t="shared" si="1"/>
        <v>5314.15</v>
      </c>
    </row>
    <row r="50" spans="1:6" ht="15" customHeight="1" thickBot="1">
      <c r="A50" s="35" t="s">
        <v>29</v>
      </c>
      <c r="B50" s="36"/>
      <c r="C50" s="24">
        <f>SUM(C33:C49)</f>
        <v>3035815.4999999995</v>
      </c>
      <c r="D50" s="24">
        <f>SUM(D33:D49)</f>
        <v>11138703.120000003</v>
      </c>
      <c r="E50" s="283">
        <f>SUM(E33:E49)</f>
        <v>940.5</v>
      </c>
      <c r="F50" s="25">
        <f>SUM(F33:F49)</f>
        <v>11139643.620000003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6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7109375" style="59" customWidth="1"/>
    <col min="2" max="2" width="3.00390625" style="59" customWidth="1"/>
    <col min="3" max="3" width="9.57421875" style="59" customWidth="1"/>
    <col min="4" max="4" width="4.28125" style="59" customWidth="1"/>
    <col min="5" max="5" width="5.28125" style="59" customWidth="1"/>
    <col min="6" max="6" width="7.8515625" style="59" bestFit="1" customWidth="1"/>
    <col min="7" max="7" width="43.7109375" style="59" customWidth="1"/>
    <col min="8" max="9" width="8.7109375" style="59" customWidth="1"/>
    <col min="10" max="10" width="9.28125" style="59" customWidth="1"/>
    <col min="11" max="11" width="9.00390625" style="59" customWidth="1"/>
    <col min="12" max="16384" width="8.8515625" style="59" customWidth="1"/>
  </cols>
  <sheetData>
    <row r="1" spans="1:11" ht="17.25">
      <c r="A1" s="401" t="s">
        <v>80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7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402" t="s">
        <v>81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3.5" thickBot="1">
      <c r="A4" s="60"/>
      <c r="B4" s="60"/>
      <c r="C4" s="60"/>
      <c r="D4" s="60"/>
      <c r="E4" s="60"/>
      <c r="F4" s="60"/>
      <c r="G4" s="60"/>
      <c r="H4" s="60"/>
      <c r="I4" s="61"/>
      <c r="K4" s="61" t="s">
        <v>35</v>
      </c>
    </row>
    <row r="5" spans="1:11" ht="13.5" thickBot="1">
      <c r="A5" s="403" t="s">
        <v>82</v>
      </c>
      <c r="B5" s="405" t="s">
        <v>4</v>
      </c>
      <c r="C5" s="405" t="s">
        <v>6</v>
      </c>
      <c r="D5" s="405" t="s">
        <v>7</v>
      </c>
      <c r="E5" s="405" t="s">
        <v>8</v>
      </c>
      <c r="F5" s="405" t="s">
        <v>83</v>
      </c>
      <c r="G5" s="408" t="s">
        <v>84</v>
      </c>
      <c r="H5" s="410" t="s">
        <v>71</v>
      </c>
      <c r="I5" s="412" t="s">
        <v>72</v>
      </c>
      <c r="J5" s="414" t="s">
        <v>231</v>
      </c>
      <c r="K5" s="415"/>
    </row>
    <row r="6" spans="1:11" ht="13.5" thickBot="1">
      <c r="A6" s="404"/>
      <c r="B6" s="406"/>
      <c r="C6" s="406"/>
      <c r="D6" s="406"/>
      <c r="E6" s="406"/>
      <c r="F6" s="407"/>
      <c r="G6" s="409"/>
      <c r="H6" s="411"/>
      <c r="I6" s="413"/>
      <c r="J6" s="62" t="s">
        <v>22</v>
      </c>
      <c r="K6" s="63" t="s">
        <v>73</v>
      </c>
    </row>
    <row r="7" spans="1:256" ht="13.5" thickBot="1">
      <c r="A7" s="64" t="s">
        <v>3</v>
      </c>
      <c r="B7" s="65" t="s">
        <v>5</v>
      </c>
      <c r="C7" s="66" t="s">
        <v>3</v>
      </c>
      <c r="D7" s="67" t="s">
        <v>3</v>
      </c>
      <c r="E7" s="67" t="s">
        <v>3</v>
      </c>
      <c r="F7" s="68"/>
      <c r="G7" s="69" t="s">
        <v>85</v>
      </c>
      <c r="H7" s="70">
        <f>H8+H12+H32+H35+H44</f>
        <v>41180</v>
      </c>
      <c r="I7" s="71">
        <f>I8+I12+I32+I35+I44</f>
        <v>502344.31987999997</v>
      </c>
      <c r="J7" s="393">
        <f>J8+J12+J32+J35+J44</f>
        <v>940.5000000000001</v>
      </c>
      <c r="K7" s="72">
        <f>K8+K12+K32+K35+K44</f>
        <v>503284.81987999997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13.5" thickBot="1">
      <c r="A8" s="74" t="s">
        <v>3</v>
      </c>
      <c r="B8" s="75" t="s">
        <v>5</v>
      </c>
      <c r="C8" s="76" t="s">
        <v>3</v>
      </c>
      <c r="D8" s="77" t="s">
        <v>3</v>
      </c>
      <c r="E8" s="77" t="s">
        <v>10</v>
      </c>
      <c r="F8" s="78"/>
      <c r="G8" s="79" t="s">
        <v>86</v>
      </c>
      <c r="H8" s="80">
        <f>H9+H10+H11</f>
        <v>210</v>
      </c>
      <c r="I8" s="81">
        <f>I9+I10+I11</f>
        <v>281.8</v>
      </c>
      <c r="J8" s="392">
        <f>J9+J10+J11</f>
        <v>44</v>
      </c>
      <c r="K8" s="82">
        <f>K9+K10+K11</f>
        <v>325.8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12.75">
      <c r="A9" s="191" t="s">
        <v>87</v>
      </c>
      <c r="B9" s="192" t="s">
        <v>77</v>
      </c>
      <c r="C9" s="101" t="s">
        <v>3</v>
      </c>
      <c r="D9" s="192" t="s">
        <v>3</v>
      </c>
      <c r="E9" s="193">
        <v>1353</v>
      </c>
      <c r="F9" s="194"/>
      <c r="G9" s="195" t="s">
        <v>116</v>
      </c>
      <c r="H9" s="196">
        <v>0</v>
      </c>
      <c r="I9" s="197">
        <v>17</v>
      </c>
      <c r="J9" s="197">
        <v>6</v>
      </c>
      <c r="K9" s="107">
        <f>I9+J9</f>
        <v>23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2.75">
      <c r="A10" s="83" t="s">
        <v>87</v>
      </c>
      <c r="B10" s="84" t="s">
        <v>77</v>
      </c>
      <c r="C10" s="85" t="s">
        <v>3</v>
      </c>
      <c r="D10" s="84" t="s">
        <v>3</v>
      </c>
      <c r="E10" s="86">
        <v>1354</v>
      </c>
      <c r="F10" s="87"/>
      <c r="G10" s="88" t="s">
        <v>88</v>
      </c>
      <c r="H10" s="89">
        <v>0</v>
      </c>
      <c r="I10" s="90">
        <f>17+37.8</f>
        <v>54.8</v>
      </c>
      <c r="J10" s="90">
        <v>38</v>
      </c>
      <c r="K10" s="91">
        <f>I10+J10</f>
        <v>92.8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3.5" thickBot="1">
      <c r="A11" s="92" t="s">
        <v>87</v>
      </c>
      <c r="B11" s="93" t="s">
        <v>77</v>
      </c>
      <c r="C11" s="85" t="s">
        <v>3</v>
      </c>
      <c r="D11" s="84" t="s">
        <v>3</v>
      </c>
      <c r="E11" s="86">
        <v>1361</v>
      </c>
      <c r="F11" s="94"/>
      <c r="G11" s="95" t="s">
        <v>89</v>
      </c>
      <c r="H11" s="96">
        <v>210</v>
      </c>
      <c r="I11" s="97">
        <v>210</v>
      </c>
      <c r="J11" s="397"/>
      <c r="K11" s="98">
        <f>I11+J11</f>
        <v>210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13.5" thickBot="1">
      <c r="A12" s="74" t="s">
        <v>3</v>
      </c>
      <c r="B12" s="75" t="s">
        <v>5</v>
      </c>
      <c r="C12" s="76" t="s">
        <v>3</v>
      </c>
      <c r="D12" s="77" t="s">
        <v>3</v>
      </c>
      <c r="E12" s="77" t="s">
        <v>11</v>
      </c>
      <c r="F12" s="78"/>
      <c r="G12" s="79" t="s">
        <v>90</v>
      </c>
      <c r="H12" s="80">
        <f>H13+H14+H15+H16+H18+H20+H22+H24+H26+H28+H30</f>
        <v>14814.23</v>
      </c>
      <c r="I12" s="81">
        <f>I13+I14+I15+I16+I18+I20+I22+I24+I26+I28+I30</f>
        <v>66390.212</v>
      </c>
      <c r="J12" s="392">
        <f>J13+J14+J15+J16+J18+J20+J22+J24+J26+J28+J30</f>
        <v>545.3900000000001</v>
      </c>
      <c r="K12" s="82">
        <f>K13+K14+K15+K16+K18+K20+K22+K24+K26+K28+K30</f>
        <v>66935.602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13.5" thickBot="1">
      <c r="A13" s="99" t="s">
        <v>87</v>
      </c>
      <c r="B13" s="100" t="s">
        <v>77</v>
      </c>
      <c r="C13" s="101" t="s">
        <v>3</v>
      </c>
      <c r="D13" s="102">
        <v>2229</v>
      </c>
      <c r="E13" s="103">
        <v>2119</v>
      </c>
      <c r="F13" s="104"/>
      <c r="G13" s="105" t="s">
        <v>91</v>
      </c>
      <c r="H13" s="106">
        <v>7600</v>
      </c>
      <c r="I13" s="106">
        <v>7600</v>
      </c>
      <c r="J13" s="398"/>
      <c r="K13" s="107">
        <f>I13+J13</f>
        <v>7600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3.5" thickBot="1">
      <c r="A14" s="183" t="s">
        <v>87</v>
      </c>
      <c r="B14" s="184" t="s">
        <v>77</v>
      </c>
      <c r="C14" s="198" t="s">
        <v>3</v>
      </c>
      <c r="D14" s="199">
        <v>2299</v>
      </c>
      <c r="E14" s="200">
        <v>2211</v>
      </c>
      <c r="F14" s="201"/>
      <c r="G14" s="202" t="s">
        <v>117</v>
      </c>
      <c r="H14" s="187">
        <v>0</v>
      </c>
      <c r="I14" s="203">
        <v>15.45</v>
      </c>
      <c r="J14" s="203">
        <v>20.24</v>
      </c>
      <c r="K14" s="203">
        <f>I14+J14</f>
        <v>35.69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3.5" thickBot="1">
      <c r="A15" s="92" t="s">
        <v>87</v>
      </c>
      <c r="B15" s="108" t="s">
        <v>77</v>
      </c>
      <c r="C15" s="109" t="s">
        <v>3</v>
      </c>
      <c r="D15" s="54">
        <v>2299</v>
      </c>
      <c r="E15" s="110">
        <v>2212</v>
      </c>
      <c r="F15" s="111"/>
      <c r="G15" s="112" t="s">
        <v>92</v>
      </c>
      <c r="H15" s="113">
        <v>2000</v>
      </c>
      <c r="I15" s="113">
        <f>2000+125+500+700.386+423.5+300+300</f>
        <v>4348.886</v>
      </c>
      <c r="J15" s="170">
        <v>440.35</v>
      </c>
      <c r="K15" s="98">
        <f>I15+J15</f>
        <v>4789.236000000001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12.75">
      <c r="A16" s="114" t="s">
        <v>93</v>
      </c>
      <c r="B16" s="115" t="s">
        <v>5</v>
      </c>
      <c r="C16" s="116" t="s">
        <v>94</v>
      </c>
      <c r="D16" s="117" t="s">
        <v>3</v>
      </c>
      <c r="E16" s="117" t="s">
        <v>3</v>
      </c>
      <c r="F16" s="117" t="s">
        <v>3</v>
      </c>
      <c r="G16" s="118" t="s">
        <v>95</v>
      </c>
      <c r="H16" s="119">
        <f>SUM(H17:H17)</f>
        <v>0</v>
      </c>
      <c r="I16" s="119">
        <f>SUM(I17:I17)</f>
        <v>442.479</v>
      </c>
      <c r="J16" s="174">
        <f>SUM(J17:J17)</f>
        <v>0</v>
      </c>
      <c r="K16" s="119">
        <f>SUM(K17:K17)</f>
        <v>442.479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3.5" thickBot="1">
      <c r="A17" s="120"/>
      <c r="B17" s="121"/>
      <c r="C17" s="122"/>
      <c r="D17" s="123">
        <v>2212</v>
      </c>
      <c r="E17" s="123">
        <v>2212</v>
      </c>
      <c r="F17" s="124"/>
      <c r="G17" s="125" t="s">
        <v>96</v>
      </c>
      <c r="H17" s="126">
        <v>0</v>
      </c>
      <c r="I17" s="53">
        <v>442.479</v>
      </c>
      <c r="J17" s="190"/>
      <c r="K17" s="127">
        <f>I17+J17</f>
        <v>442.479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20.25">
      <c r="A18" s="128" t="s">
        <v>97</v>
      </c>
      <c r="B18" s="117" t="s">
        <v>5</v>
      </c>
      <c r="C18" s="129" t="s">
        <v>98</v>
      </c>
      <c r="D18" s="130" t="s">
        <v>3</v>
      </c>
      <c r="E18" s="131" t="s">
        <v>3</v>
      </c>
      <c r="F18" s="130" t="s">
        <v>3</v>
      </c>
      <c r="G18" s="132" t="s">
        <v>99</v>
      </c>
      <c r="H18" s="133">
        <f>SUM(H19:H19)</f>
        <v>0</v>
      </c>
      <c r="I18" s="133">
        <f>SUM(I19:I19)</f>
        <v>5583.819</v>
      </c>
      <c r="J18" s="133">
        <f>SUM(J19:J19)</f>
        <v>0</v>
      </c>
      <c r="K18" s="134">
        <f>SUM(K19:K19)</f>
        <v>5583.819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3.5" thickBot="1">
      <c r="A19" s="135"/>
      <c r="B19" s="136"/>
      <c r="C19" s="137"/>
      <c r="D19" s="54">
        <v>2212</v>
      </c>
      <c r="E19" s="110">
        <v>2229</v>
      </c>
      <c r="F19" s="111"/>
      <c r="G19" s="112" t="s">
        <v>100</v>
      </c>
      <c r="H19" s="113">
        <v>0</v>
      </c>
      <c r="I19" s="37">
        <f>5500+83.819</f>
        <v>5583.819</v>
      </c>
      <c r="J19" s="37"/>
      <c r="K19" s="138">
        <f>I19+J19</f>
        <v>5583.819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12.75">
      <c r="A20" s="128" t="s">
        <v>118</v>
      </c>
      <c r="B20" s="117" t="s">
        <v>5</v>
      </c>
      <c r="C20" s="211" t="s">
        <v>120</v>
      </c>
      <c r="D20" s="141" t="s">
        <v>3</v>
      </c>
      <c r="E20" s="141" t="s">
        <v>3</v>
      </c>
      <c r="F20" s="117" t="s">
        <v>3</v>
      </c>
      <c r="G20" s="205" t="s">
        <v>119</v>
      </c>
      <c r="H20" s="133">
        <f>SUM(H21:H21)</f>
        <v>0</v>
      </c>
      <c r="I20" s="133">
        <f>SUM(I21:I21)</f>
        <v>44.02</v>
      </c>
      <c r="J20" s="133">
        <f>SUM(J21:J21)</f>
        <v>0</v>
      </c>
      <c r="K20" s="134">
        <f>SUM(K21:K21)</f>
        <v>44.02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13.5" thickBot="1">
      <c r="A21" s="135"/>
      <c r="B21" s="136"/>
      <c r="C21" s="137"/>
      <c r="D21" s="54">
        <v>6402</v>
      </c>
      <c r="E21" s="110">
        <v>2229</v>
      </c>
      <c r="F21" s="111"/>
      <c r="G21" s="112" t="s">
        <v>100</v>
      </c>
      <c r="H21" s="37">
        <v>0</v>
      </c>
      <c r="I21" s="204">
        <v>44.02</v>
      </c>
      <c r="J21" s="204"/>
      <c r="K21" s="127">
        <f>I21+J21</f>
        <v>44.02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12.75">
      <c r="A22" s="128" t="s">
        <v>118</v>
      </c>
      <c r="B22" s="117" t="s">
        <v>5</v>
      </c>
      <c r="C22" s="211" t="s">
        <v>121</v>
      </c>
      <c r="D22" s="141" t="s">
        <v>3</v>
      </c>
      <c r="E22" s="141" t="s">
        <v>3</v>
      </c>
      <c r="F22" s="117" t="s">
        <v>3</v>
      </c>
      <c r="G22" s="205" t="s">
        <v>122</v>
      </c>
      <c r="H22" s="133">
        <f>SUM(H23:H23)</f>
        <v>0</v>
      </c>
      <c r="I22" s="133">
        <f>SUM(I23:I23)</f>
        <v>82</v>
      </c>
      <c r="J22" s="133">
        <f>SUM(J23:J23)</f>
        <v>0</v>
      </c>
      <c r="K22" s="134">
        <f>SUM(K23:K23)</f>
        <v>82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13.5" thickBot="1">
      <c r="A23" s="135"/>
      <c r="B23" s="136"/>
      <c r="C23" s="137"/>
      <c r="D23" s="54">
        <v>6402</v>
      </c>
      <c r="E23" s="110">
        <v>2229</v>
      </c>
      <c r="F23" s="111"/>
      <c r="G23" s="112" t="s">
        <v>100</v>
      </c>
      <c r="H23" s="37">
        <v>0</v>
      </c>
      <c r="I23" s="204">
        <v>82</v>
      </c>
      <c r="J23" s="204"/>
      <c r="K23" s="127">
        <f>I23+J23</f>
        <v>82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12.75">
      <c r="A24" s="139" t="s">
        <v>87</v>
      </c>
      <c r="B24" s="140" t="s">
        <v>77</v>
      </c>
      <c r="C24" s="141" t="s">
        <v>3</v>
      </c>
      <c r="D24" s="142" t="s">
        <v>3</v>
      </c>
      <c r="E24" s="143" t="s">
        <v>3</v>
      </c>
      <c r="F24" s="117" t="s">
        <v>3</v>
      </c>
      <c r="G24" s="144" t="s">
        <v>101</v>
      </c>
      <c r="H24" s="145">
        <f>SUM(H25:H25)</f>
        <v>0</v>
      </c>
      <c r="I24" s="133">
        <f>SUM(I25:I25)</f>
        <v>77.437</v>
      </c>
      <c r="J24" s="133">
        <f>SUM(J25:J25)</f>
        <v>5.8</v>
      </c>
      <c r="K24" s="134">
        <f>SUM(K25:K25)</f>
        <v>83.237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13.5" thickBot="1">
      <c r="A25" s="83"/>
      <c r="B25" s="146"/>
      <c r="C25" s="147"/>
      <c r="D25" s="148">
        <v>2299</v>
      </c>
      <c r="E25" s="149">
        <v>2324</v>
      </c>
      <c r="F25" s="150"/>
      <c r="G25" s="151" t="s">
        <v>102</v>
      </c>
      <c r="H25" s="152">
        <v>0</v>
      </c>
      <c r="I25" s="53">
        <f>8.359+69.078</f>
        <v>77.437</v>
      </c>
      <c r="J25" s="37">
        <v>5.8</v>
      </c>
      <c r="K25" s="127">
        <f>I25+J25</f>
        <v>83.237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12.75">
      <c r="A26" s="114" t="s">
        <v>87</v>
      </c>
      <c r="B26" s="115" t="s">
        <v>5</v>
      </c>
      <c r="C26" s="116" t="s">
        <v>3</v>
      </c>
      <c r="D26" s="117" t="s">
        <v>3</v>
      </c>
      <c r="E26" s="117" t="s">
        <v>3</v>
      </c>
      <c r="F26" s="117" t="s">
        <v>3</v>
      </c>
      <c r="G26" s="153" t="s">
        <v>103</v>
      </c>
      <c r="H26" s="119">
        <f>SUM(H27:H27)</f>
        <v>5214.23</v>
      </c>
      <c r="I26" s="119">
        <f>SUM(I27:I27)</f>
        <v>5214.23</v>
      </c>
      <c r="J26" s="396">
        <f>SUM(J27:J27)</f>
        <v>0</v>
      </c>
      <c r="K26" s="119">
        <f>SUM(K27:K27)</f>
        <v>5214.23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13.5" thickBot="1">
      <c r="A27" s="154"/>
      <c r="B27" s="155"/>
      <c r="C27" s="156"/>
      <c r="D27" s="157">
        <v>2292</v>
      </c>
      <c r="E27" s="157">
        <v>2329</v>
      </c>
      <c r="F27" s="158"/>
      <c r="G27" s="159" t="s">
        <v>104</v>
      </c>
      <c r="H27" s="127">
        <v>5214.23</v>
      </c>
      <c r="I27" s="160">
        <v>5214.23</v>
      </c>
      <c r="J27" s="160"/>
      <c r="K27" s="127">
        <f>I27+J27</f>
        <v>5214.23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2.75">
      <c r="A28" s="139" t="s">
        <v>87</v>
      </c>
      <c r="B28" s="140" t="s">
        <v>77</v>
      </c>
      <c r="C28" s="141" t="s">
        <v>3</v>
      </c>
      <c r="D28" s="142" t="s">
        <v>3</v>
      </c>
      <c r="E28" s="143" t="s">
        <v>3</v>
      </c>
      <c r="F28" s="117" t="s">
        <v>3</v>
      </c>
      <c r="G28" s="144" t="s">
        <v>232</v>
      </c>
      <c r="H28" s="145">
        <f>SUM(H29:H29)</f>
        <v>0</v>
      </c>
      <c r="I28" s="133">
        <f>SUM(I29:I29)</f>
        <v>0</v>
      </c>
      <c r="J28" s="133">
        <f>SUM(J29:J29)</f>
        <v>79</v>
      </c>
      <c r="K28" s="134">
        <f>SUM(K29:K29)</f>
        <v>79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13.5" thickBot="1">
      <c r="A29" s="83"/>
      <c r="B29" s="146"/>
      <c r="C29" s="147"/>
      <c r="D29" s="148">
        <v>2299</v>
      </c>
      <c r="E29" s="157">
        <v>2329</v>
      </c>
      <c r="F29" s="158"/>
      <c r="G29" s="159" t="s">
        <v>104</v>
      </c>
      <c r="H29" s="152">
        <v>0</v>
      </c>
      <c r="I29" s="53">
        <v>0</v>
      </c>
      <c r="J29" s="37">
        <v>79</v>
      </c>
      <c r="K29" s="127">
        <f>I29+J29</f>
        <v>79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ht="12.75" customHeight="1">
      <c r="A30" s="114" t="s">
        <v>118</v>
      </c>
      <c r="B30" s="115" t="s">
        <v>5</v>
      </c>
      <c r="C30" s="116" t="s">
        <v>130</v>
      </c>
      <c r="D30" s="117" t="s">
        <v>3</v>
      </c>
      <c r="E30" s="117" t="s">
        <v>3</v>
      </c>
      <c r="F30" s="117" t="s">
        <v>3</v>
      </c>
      <c r="G30" s="172" t="s">
        <v>131</v>
      </c>
      <c r="H30" s="173">
        <f>SUM(H31:H31)</f>
        <v>0</v>
      </c>
      <c r="I30" s="174">
        <f>SUM(I31:I31)</f>
        <v>42981.890999999996</v>
      </c>
      <c r="J30" s="119">
        <f>SUM(J31:J31)</f>
        <v>0</v>
      </c>
      <c r="K30" s="119">
        <f>SUM(K31:K31)</f>
        <v>42981.890999999996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ht="13.5" thickBot="1">
      <c r="A31" s="261"/>
      <c r="B31" s="262"/>
      <c r="C31" s="263"/>
      <c r="D31" s="264"/>
      <c r="E31" s="264">
        <v>2451</v>
      </c>
      <c r="F31" s="238"/>
      <c r="G31" s="266" t="s">
        <v>144</v>
      </c>
      <c r="H31" s="267">
        <v>0</v>
      </c>
      <c r="I31" s="56">
        <f>2373.566+40608.325</f>
        <v>42981.890999999996</v>
      </c>
      <c r="J31" s="394"/>
      <c r="K31" s="166">
        <f>I31+J31</f>
        <v>42981.890999999996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ht="13.5" thickBot="1">
      <c r="A32" s="74" t="s">
        <v>3</v>
      </c>
      <c r="B32" s="75" t="s">
        <v>5</v>
      </c>
      <c r="C32" s="76" t="s">
        <v>3</v>
      </c>
      <c r="D32" s="77" t="s">
        <v>3</v>
      </c>
      <c r="E32" s="77" t="s">
        <v>12</v>
      </c>
      <c r="F32" s="78"/>
      <c r="G32" s="79" t="s">
        <v>105</v>
      </c>
      <c r="H32" s="80">
        <f>H33+H34</f>
        <v>0</v>
      </c>
      <c r="I32" s="81">
        <f>I33+I34</f>
        <v>132.095</v>
      </c>
      <c r="J32" s="392">
        <f>J33+J34</f>
        <v>351.11</v>
      </c>
      <c r="K32" s="82">
        <f>K33+K34</f>
        <v>483.20500000000004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ht="12.75" customHeight="1">
      <c r="A33" s="99" t="s">
        <v>87</v>
      </c>
      <c r="B33" s="161" t="s">
        <v>77</v>
      </c>
      <c r="C33" s="101" t="s">
        <v>3</v>
      </c>
      <c r="D33" s="162">
        <v>6172</v>
      </c>
      <c r="E33" s="162">
        <v>3111</v>
      </c>
      <c r="F33" s="163"/>
      <c r="G33" s="164" t="s">
        <v>123</v>
      </c>
      <c r="H33" s="165">
        <v>0</v>
      </c>
      <c r="I33" s="56">
        <f>89.645+42.45</f>
        <v>132.095</v>
      </c>
      <c r="J33" s="197">
        <v>351.11</v>
      </c>
      <c r="K33" s="166">
        <f>I33+J33</f>
        <v>483.20500000000004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ht="13.5" thickBot="1">
      <c r="A34" s="92" t="s">
        <v>87</v>
      </c>
      <c r="B34" s="108" t="s">
        <v>77</v>
      </c>
      <c r="C34" s="109" t="s">
        <v>3</v>
      </c>
      <c r="D34" s="167">
        <v>6172</v>
      </c>
      <c r="E34" s="167">
        <v>3112</v>
      </c>
      <c r="F34" s="168"/>
      <c r="G34" s="169" t="s">
        <v>124</v>
      </c>
      <c r="H34" s="170">
        <v>0</v>
      </c>
      <c r="I34" s="171">
        <v>0</v>
      </c>
      <c r="J34" s="171"/>
      <c r="K34" s="98">
        <f>I34+J34</f>
        <v>0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ht="13.5" thickBot="1">
      <c r="A35" s="74" t="s">
        <v>3</v>
      </c>
      <c r="B35" s="75" t="s">
        <v>5</v>
      </c>
      <c r="C35" s="76" t="s">
        <v>3</v>
      </c>
      <c r="D35" s="77" t="s">
        <v>3</v>
      </c>
      <c r="E35" s="77" t="s">
        <v>106</v>
      </c>
      <c r="F35" s="78"/>
      <c r="G35" s="79" t="s">
        <v>107</v>
      </c>
      <c r="H35" s="80">
        <f>H36+H38+H40+H43</f>
        <v>26155.77</v>
      </c>
      <c r="I35" s="81">
        <f>I36+I38+I40+I43</f>
        <v>251720.54987999998</v>
      </c>
      <c r="J35" s="392">
        <f>J36+J38+J40+J43</f>
        <v>0</v>
      </c>
      <c r="K35" s="82">
        <f>K36+K38+K40+K43</f>
        <v>251720.54987999998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ht="12.75">
      <c r="A36" s="114" t="s">
        <v>87</v>
      </c>
      <c r="B36" s="115" t="s">
        <v>5</v>
      </c>
      <c r="C36" s="116" t="s">
        <v>3</v>
      </c>
      <c r="D36" s="117" t="s">
        <v>3</v>
      </c>
      <c r="E36" s="117" t="s">
        <v>3</v>
      </c>
      <c r="F36" s="117" t="s">
        <v>3</v>
      </c>
      <c r="G36" s="172" t="s">
        <v>108</v>
      </c>
      <c r="H36" s="173">
        <f>SUM(H37:H37)</f>
        <v>0</v>
      </c>
      <c r="I36" s="174">
        <f>SUM(I37:I37)</f>
        <v>130000</v>
      </c>
      <c r="J36" s="174">
        <f>SUM(J37:J37)</f>
        <v>0</v>
      </c>
      <c r="K36" s="119">
        <f>SUM(K37:K37)</f>
        <v>130000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ht="13.5" thickBot="1">
      <c r="A37" s="175"/>
      <c r="B37" s="176"/>
      <c r="C37" s="177"/>
      <c r="D37" s="178"/>
      <c r="E37" s="178">
        <v>4113</v>
      </c>
      <c r="F37" s="179" t="s">
        <v>109</v>
      </c>
      <c r="G37" s="180" t="s">
        <v>110</v>
      </c>
      <c r="H37" s="181">
        <v>0</v>
      </c>
      <c r="I37" s="182">
        <v>130000</v>
      </c>
      <c r="J37" s="182"/>
      <c r="K37" s="127">
        <f>I37+J37</f>
        <v>130000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ht="20.25">
      <c r="A38" s="114" t="s">
        <v>87</v>
      </c>
      <c r="B38" s="115" t="s">
        <v>5</v>
      </c>
      <c r="C38" s="116" t="s">
        <v>3</v>
      </c>
      <c r="D38" s="117" t="s">
        <v>3</v>
      </c>
      <c r="E38" s="117" t="s">
        <v>3</v>
      </c>
      <c r="F38" s="117" t="s">
        <v>3</v>
      </c>
      <c r="G38" s="172" t="s">
        <v>159</v>
      </c>
      <c r="H38" s="173">
        <f>SUM(H39:H39)</f>
        <v>0</v>
      </c>
      <c r="I38" s="174">
        <f>SUM(I39:I39)</f>
        <v>95181.409</v>
      </c>
      <c r="J38" s="174">
        <f>SUM(J39:J39)</f>
        <v>0</v>
      </c>
      <c r="K38" s="119">
        <f>SUM(K39:K39)</f>
        <v>95181.409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13.5" thickBot="1">
      <c r="A39" s="120"/>
      <c r="B39" s="121"/>
      <c r="C39" s="122"/>
      <c r="D39" s="123"/>
      <c r="E39" s="123">
        <v>4116</v>
      </c>
      <c r="F39" s="124" t="s">
        <v>160</v>
      </c>
      <c r="G39" s="188" t="s">
        <v>142</v>
      </c>
      <c r="H39" s="189">
        <v>0</v>
      </c>
      <c r="I39" s="53">
        <v>95181.409</v>
      </c>
      <c r="J39" s="190"/>
      <c r="K39" s="127">
        <f>I39+J39</f>
        <v>95181.409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2.75">
      <c r="A40" s="114" t="s">
        <v>118</v>
      </c>
      <c r="B40" s="115" t="s">
        <v>5</v>
      </c>
      <c r="C40" s="116" t="s">
        <v>130</v>
      </c>
      <c r="D40" s="117" t="s">
        <v>3</v>
      </c>
      <c r="E40" s="117" t="s">
        <v>3</v>
      </c>
      <c r="F40" s="117" t="s">
        <v>3</v>
      </c>
      <c r="G40" s="172" t="s">
        <v>131</v>
      </c>
      <c r="H40" s="173">
        <f>SUM(H41:H42)</f>
        <v>0</v>
      </c>
      <c r="I40" s="174">
        <f>SUM(I41:I42)</f>
        <v>383.37088</v>
      </c>
      <c r="J40" s="119">
        <f>SUM(J41:J42)</f>
        <v>0</v>
      </c>
      <c r="K40" s="119">
        <f>SUM(K41:K42)</f>
        <v>383.37088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2.75">
      <c r="A41" s="261"/>
      <c r="B41" s="262"/>
      <c r="C41" s="263"/>
      <c r="D41" s="264"/>
      <c r="E41" s="264">
        <v>4116</v>
      </c>
      <c r="F41" s="265" t="s">
        <v>141</v>
      </c>
      <c r="G41" s="266" t="s">
        <v>142</v>
      </c>
      <c r="H41" s="267">
        <v>0</v>
      </c>
      <c r="I41" s="56">
        <f>6.06013+15.18606</f>
        <v>21.24619</v>
      </c>
      <c r="J41" s="166"/>
      <c r="K41" s="166">
        <f>I41+J41</f>
        <v>21.24619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13.5" thickBot="1">
      <c r="A42" s="175"/>
      <c r="B42" s="176"/>
      <c r="C42" s="124"/>
      <c r="D42" s="123"/>
      <c r="E42" s="260">
        <v>4118</v>
      </c>
      <c r="F42" s="156">
        <v>110595113</v>
      </c>
      <c r="G42" s="180" t="s">
        <v>156</v>
      </c>
      <c r="H42" s="189">
        <v>0</v>
      </c>
      <c r="I42" s="53">
        <f>103.96575+258.15894</f>
        <v>362.12469</v>
      </c>
      <c r="J42" s="127"/>
      <c r="K42" s="127">
        <f>I42+J42</f>
        <v>362.12469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13.5" thickBot="1">
      <c r="A43" s="183" t="s">
        <v>87</v>
      </c>
      <c r="B43" s="184" t="s">
        <v>77</v>
      </c>
      <c r="C43" s="109" t="s">
        <v>3</v>
      </c>
      <c r="D43" s="93" t="s">
        <v>3</v>
      </c>
      <c r="E43" s="110">
        <v>4121</v>
      </c>
      <c r="F43" s="94"/>
      <c r="G43" s="185" t="s">
        <v>111</v>
      </c>
      <c r="H43" s="186">
        <v>26155.77</v>
      </c>
      <c r="I43" s="187">
        <v>26155.77</v>
      </c>
      <c r="J43" s="393"/>
      <c r="K43" s="37">
        <f>I43+J43</f>
        <v>26155.77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12" ht="13.5" thickBot="1">
      <c r="A44" s="74" t="s">
        <v>3</v>
      </c>
      <c r="B44" s="75" t="s">
        <v>5</v>
      </c>
      <c r="C44" s="76" t="s">
        <v>3</v>
      </c>
      <c r="D44" s="77" t="s">
        <v>3</v>
      </c>
      <c r="E44" s="77" t="s">
        <v>112</v>
      </c>
      <c r="F44" s="78"/>
      <c r="G44" s="79" t="s">
        <v>113</v>
      </c>
      <c r="H44" s="80">
        <f>H45+H47+H50+H53+H56+H59+H61+H63</f>
        <v>0</v>
      </c>
      <c r="I44" s="81">
        <f>I45+I47+I50+I53+I56+I59+I61+I63</f>
        <v>183819.66300000003</v>
      </c>
      <c r="J44" s="392">
        <f>J45+J47+J50+J53+J56+J59+J61+J63</f>
        <v>0</v>
      </c>
      <c r="K44" s="82">
        <f>K45+K47+K50+K53+K56+K59+K61+K63</f>
        <v>183819.66300000003</v>
      </c>
      <c r="L44" s="73"/>
    </row>
    <row r="45" spans="1:11" ht="12.75">
      <c r="A45" s="114" t="s">
        <v>87</v>
      </c>
      <c r="B45" s="115" t="s">
        <v>5</v>
      </c>
      <c r="C45" s="116" t="s">
        <v>3</v>
      </c>
      <c r="D45" s="117" t="s">
        <v>3</v>
      </c>
      <c r="E45" s="117" t="s">
        <v>3</v>
      </c>
      <c r="F45" s="117" t="s">
        <v>3</v>
      </c>
      <c r="G45" s="172" t="s">
        <v>108</v>
      </c>
      <c r="H45" s="173">
        <f>SUM(H46:H46)</f>
        <v>0</v>
      </c>
      <c r="I45" s="174">
        <f>SUM(I46:I46)</f>
        <v>48409.676</v>
      </c>
      <c r="J45" s="174">
        <f>SUM(J46:J46)</f>
        <v>0</v>
      </c>
      <c r="K45" s="119">
        <f>SUM(K46:K46)</f>
        <v>48409.676</v>
      </c>
    </row>
    <row r="46" spans="1:11" ht="13.5" thickBot="1">
      <c r="A46" s="120"/>
      <c r="B46" s="121"/>
      <c r="C46" s="122"/>
      <c r="D46" s="123"/>
      <c r="E46" s="123">
        <v>4213</v>
      </c>
      <c r="F46" s="124" t="s">
        <v>114</v>
      </c>
      <c r="G46" s="188" t="s">
        <v>115</v>
      </c>
      <c r="H46" s="189">
        <v>0</v>
      </c>
      <c r="I46" s="190">
        <f>15269.676+33140</f>
        <v>48409.676</v>
      </c>
      <c r="J46" s="190"/>
      <c r="K46" s="127">
        <f>I46+J46</f>
        <v>48409.676</v>
      </c>
    </row>
    <row r="47" spans="1:11" ht="12.75">
      <c r="A47" s="114" t="s">
        <v>118</v>
      </c>
      <c r="B47" s="115" t="s">
        <v>5</v>
      </c>
      <c r="C47" s="116" t="s">
        <v>130</v>
      </c>
      <c r="D47" s="117" t="s">
        <v>3</v>
      </c>
      <c r="E47" s="117" t="s">
        <v>3</v>
      </c>
      <c r="F47" s="117" t="s">
        <v>3</v>
      </c>
      <c r="G47" s="172" t="s">
        <v>131</v>
      </c>
      <c r="H47" s="173">
        <f>SUM(H48:H49)</f>
        <v>0</v>
      </c>
      <c r="I47" s="174">
        <f>SUM(I48:I49)</f>
        <v>113301.05159</v>
      </c>
      <c r="J47" s="119">
        <f>SUM(J48:J49)</f>
        <v>0</v>
      </c>
      <c r="K47" s="119">
        <f>SUM(K48:K49)</f>
        <v>113301.05159</v>
      </c>
    </row>
    <row r="48" spans="1:11" ht="12.75">
      <c r="A48" s="261"/>
      <c r="B48" s="262"/>
      <c r="C48" s="263"/>
      <c r="D48" s="264"/>
      <c r="E48" s="264">
        <v>4216</v>
      </c>
      <c r="F48" s="238">
        <v>110117988</v>
      </c>
      <c r="G48" s="266" t="s">
        <v>143</v>
      </c>
      <c r="H48" s="267">
        <v>0</v>
      </c>
      <c r="I48" s="56">
        <f>2345.45592+3361.1233</f>
        <v>5706.57922</v>
      </c>
      <c r="J48" s="284"/>
      <c r="K48" s="166">
        <f>I48+J48</f>
        <v>5706.57922</v>
      </c>
    </row>
    <row r="49" spans="1:11" ht="13.5" thickBot="1">
      <c r="A49" s="175"/>
      <c r="B49" s="176"/>
      <c r="C49" s="122"/>
      <c r="D49" s="123"/>
      <c r="E49" s="123">
        <v>4218</v>
      </c>
      <c r="F49" s="238">
        <v>110595823</v>
      </c>
      <c r="G49" s="180" t="s">
        <v>157</v>
      </c>
      <c r="H49" s="189">
        <v>0</v>
      </c>
      <c r="I49" s="53">
        <f>40238.84266+(57139.09911+10216.5306)</f>
        <v>107594.47237</v>
      </c>
      <c r="J49" s="127"/>
      <c r="K49" s="127">
        <f>I49+J49</f>
        <v>107594.47237</v>
      </c>
    </row>
    <row r="50" spans="1:11" ht="12.75">
      <c r="A50" s="114" t="s">
        <v>118</v>
      </c>
      <c r="B50" s="115" t="s">
        <v>5</v>
      </c>
      <c r="C50" s="116" t="s">
        <v>145</v>
      </c>
      <c r="D50" s="117" t="s">
        <v>3</v>
      </c>
      <c r="E50" s="117" t="s">
        <v>3</v>
      </c>
      <c r="F50" s="117" t="s">
        <v>3</v>
      </c>
      <c r="G50" s="172" t="s">
        <v>146</v>
      </c>
      <c r="H50" s="173">
        <f>SUM(H51:H52)</f>
        <v>0</v>
      </c>
      <c r="I50" s="174">
        <f>SUM(I51:I52)</f>
        <v>5422.55303</v>
      </c>
      <c r="J50" s="119">
        <f>SUM(J51:J52)</f>
        <v>0</v>
      </c>
      <c r="K50" s="119">
        <f>SUM(K51:K52)</f>
        <v>5422.55303</v>
      </c>
    </row>
    <row r="51" spans="1:11" ht="12.75">
      <c r="A51" s="261"/>
      <c r="B51" s="262"/>
      <c r="C51" s="263"/>
      <c r="D51" s="264"/>
      <c r="E51" s="264">
        <v>4216</v>
      </c>
      <c r="F51" s="263" t="s">
        <v>147</v>
      </c>
      <c r="G51" s="266" t="s">
        <v>143</v>
      </c>
      <c r="H51" s="267">
        <v>0</v>
      </c>
      <c r="I51" s="56">
        <v>301.25294</v>
      </c>
      <c r="J51" s="394"/>
      <c r="K51" s="166">
        <f>I51+J51</f>
        <v>301.25294</v>
      </c>
    </row>
    <row r="52" spans="1:11" ht="13.5" thickBot="1">
      <c r="A52" s="120"/>
      <c r="B52" s="121"/>
      <c r="C52" s="122"/>
      <c r="D52" s="123"/>
      <c r="E52" s="123"/>
      <c r="F52" s="177" t="s">
        <v>148</v>
      </c>
      <c r="G52" s="188" t="s">
        <v>143</v>
      </c>
      <c r="H52" s="189">
        <v>0</v>
      </c>
      <c r="I52" s="53">
        <v>5121.30009</v>
      </c>
      <c r="J52" s="395"/>
      <c r="K52" s="37">
        <f>I52+J52</f>
        <v>5121.30009</v>
      </c>
    </row>
    <row r="53" spans="1:11" ht="12.75">
      <c r="A53" s="114" t="s">
        <v>118</v>
      </c>
      <c r="B53" s="115" t="s">
        <v>5</v>
      </c>
      <c r="C53" s="116" t="s">
        <v>149</v>
      </c>
      <c r="D53" s="117" t="s">
        <v>3</v>
      </c>
      <c r="E53" s="117" t="s">
        <v>3</v>
      </c>
      <c r="F53" s="117" t="s">
        <v>3</v>
      </c>
      <c r="G53" s="172" t="s">
        <v>150</v>
      </c>
      <c r="H53" s="173">
        <f>SUM(H54:H55)</f>
        <v>0</v>
      </c>
      <c r="I53" s="174">
        <f>SUM(I54:I55)</f>
        <v>11052.18679</v>
      </c>
      <c r="J53" s="119">
        <f>SUM(J54:J55)</f>
        <v>0</v>
      </c>
      <c r="K53" s="119">
        <f>SUM(K54:K55)</f>
        <v>11052.18679</v>
      </c>
    </row>
    <row r="54" spans="1:11" ht="12.75">
      <c r="A54" s="261"/>
      <c r="B54" s="262"/>
      <c r="C54" s="263"/>
      <c r="D54" s="264"/>
      <c r="E54" s="264">
        <v>4216</v>
      </c>
      <c r="F54" s="263" t="s">
        <v>147</v>
      </c>
      <c r="G54" s="266" t="s">
        <v>143</v>
      </c>
      <c r="H54" s="267">
        <v>0</v>
      </c>
      <c r="I54" s="56">
        <v>614.01038</v>
      </c>
      <c r="J54" s="394"/>
      <c r="K54" s="166">
        <f>I54+J54</f>
        <v>614.01038</v>
      </c>
    </row>
    <row r="55" spans="1:11" ht="13.5" thickBot="1">
      <c r="A55" s="120"/>
      <c r="B55" s="121"/>
      <c r="C55" s="122"/>
      <c r="D55" s="123"/>
      <c r="E55" s="123"/>
      <c r="F55" s="177" t="s">
        <v>148</v>
      </c>
      <c r="G55" s="188" t="s">
        <v>143</v>
      </c>
      <c r="H55" s="189">
        <v>0</v>
      </c>
      <c r="I55" s="53">
        <v>10438.17641</v>
      </c>
      <c r="J55" s="395"/>
      <c r="K55" s="37">
        <f>I55+J55</f>
        <v>10438.17641</v>
      </c>
    </row>
    <row r="56" spans="1:11" ht="12.75">
      <c r="A56" s="114" t="s">
        <v>118</v>
      </c>
      <c r="B56" s="115" t="s">
        <v>5</v>
      </c>
      <c r="C56" s="116" t="s">
        <v>151</v>
      </c>
      <c r="D56" s="117" t="s">
        <v>3</v>
      </c>
      <c r="E56" s="117" t="s">
        <v>3</v>
      </c>
      <c r="F56" s="117" t="s">
        <v>3</v>
      </c>
      <c r="G56" s="172" t="s">
        <v>152</v>
      </c>
      <c r="H56" s="173">
        <f>SUM(H57:H58)</f>
        <v>0</v>
      </c>
      <c r="I56" s="174">
        <f>SUM(I57:I58)</f>
        <v>3763.22316</v>
      </c>
      <c r="J56" s="119">
        <f>SUM(J57:J58)</f>
        <v>0</v>
      </c>
      <c r="K56" s="119">
        <f>SUM(K57:K58)</f>
        <v>3763.22316</v>
      </c>
    </row>
    <row r="57" spans="1:11" ht="12.75">
      <c r="A57" s="261"/>
      <c r="B57" s="262"/>
      <c r="C57" s="263"/>
      <c r="D57" s="264"/>
      <c r="E57" s="264">
        <v>4216</v>
      </c>
      <c r="F57" s="263" t="s">
        <v>147</v>
      </c>
      <c r="G57" s="266" t="s">
        <v>143</v>
      </c>
      <c r="H57" s="267">
        <v>0</v>
      </c>
      <c r="I57" s="56">
        <v>209.06796</v>
      </c>
      <c r="J57" s="394"/>
      <c r="K57" s="166">
        <f>I57+J57</f>
        <v>209.06796</v>
      </c>
    </row>
    <row r="58" spans="1:11" ht="13.5" thickBot="1">
      <c r="A58" s="120"/>
      <c r="B58" s="121"/>
      <c r="C58" s="122"/>
      <c r="D58" s="123"/>
      <c r="E58" s="123"/>
      <c r="F58" s="177" t="s">
        <v>148</v>
      </c>
      <c r="G58" s="188" t="s">
        <v>143</v>
      </c>
      <c r="H58" s="189">
        <v>0</v>
      </c>
      <c r="I58" s="53">
        <v>3554.1552</v>
      </c>
      <c r="J58" s="395"/>
      <c r="K58" s="37">
        <f>I58+J58</f>
        <v>3554.1552</v>
      </c>
    </row>
    <row r="59" spans="1:11" ht="12.75">
      <c r="A59" s="270" t="s">
        <v>93</v>
      </c>
      <c r="B59" s="141" t="s">
        <v>5</v>
      </c>
      <c r="C59" s="211" t="s">
        <v>161</v>
      </c>
      <c r="D59" s="141" t="s">
        <v>3</v>
      </c>
      <c r="E59" s="141" t="s">
        <v>3</v>
      </c>
      <c r="F59" s="117" t="s">
        <v>3</v>
      </c>
      <c r="G59" s="271" t="s">
        <v>162</v>
      </c>
      <c r="H59" s="119">
        <f>SUM(H60:H60)</f>
        <v>0</v>
      </c>
      <c r="I59" s="119">
        <f>SUM(I60:I60)</f>
        <v>1403.564</v>
      </c>
      <c r="J59" s="174">
        <f>SUM(J60:J60)</f>
        <v>0</v>
      </c>
      <c r="K59" s="119">
        <f>SUM(K60:K60)</f>
        <v>1403.564</v>
      </c>
    </row>
    <row r="60" spans="1:11" ht="13.5" thickBot="1">
      <c r="A60" s="272"/>
      <c r="B60" s="273"/>
      <c r="C60" s="156"/>
      <c r="D60" s="157"/>
      <c r="E60" s="157">
        <v>4221</v>
      </c>
      <c r="F60" s="158"/>
      <c r="G60" s="274" t="s">
        <v>155</v>
      </c>
      <c r="H60" s="127">
        <v>0</v>
      </c>
      <c r="I60" s="53">
        <v>1403.564</v>
      </c>
      <c r="J60" s="204"/>
      <c r="K60" s="127">
        <f>I60+J60</f>
        <v>1403.564</v>
      </c>
    </row>
    <row r="61" spans="1:11" ht="12.75">
      <c r="A61" s="270" t="s">
        <v>118</v>
      </c>
      <c r="B61" s="141" t="s">
        <v>5</v>
      </c>
      <c r="C61" s="211" t="s">
        <v>153</v>
      </c>
      <c r="D61" s="141" t="s">
        <v>3</v>
      </c>
      <c r="E61" s="141" t="s">
        <v>3</v>
      </c>
      <c r="F61" s="117" t="s">
        <v>3</v>
      </c>
      <c r="G61" s="271" t="s">
        <v>154</v>
      </c>
      <c r="H61" s="119">
        <f>SUM(H62:H62)</f>
        <v>0</v>
      </c>
      <c r="I61" s="119">
        <f>SUM(I62:I62)</f>
        <v>467.40843</v>
      </c>
      <c r="J61" s="174">
        <f>SUM(J62:J62)</f>
        <v>0</v>
      </c>
      <c r="K61" s="119">
        <f>SUM(K62:K62)</f>
        <v>467.40843</v>
      </c>
    </row>
    <row r="62" spans="1:11" ht="13.5" thickBot="1">
      <c r="A62" s="272"/>
      <c r="B62" s="273"/>
      <c r="C62" s="156"/>
      <c r="D62" s="157"/>
      <c r="E62" s="157">
        <v>4221</v>
      </c>
      <c r="F62" s="158"/>
      <c r="G62" s="274" t="s">
        <v>155</v>
      </c>
      <c r="H62" s="127">
        <v>0</v>
      </c>
      <c r="I62" s="258">
        <f>91.15438+376.25405</f>
        <v>467.40843</v>
      </c>
      <c r="J62" s="204"/>
      <c r="K62" s="127">
        <f>I62+J62</f>
        <v>467.40843</v>
      </c>
    </row>
    <row r="63" spans="1:11" ht="12.75">
      <c r="A63" s="378" t="s">
        <v>118</v>
      </c>
      <c r="B63" s="379" t="s">
        <v>5</v>
      </c>
      <c r="C63" s="380" t="s">
        <v>225</v>
      </c>
      <c r="D63" s="379" t="s">
        <v>3</v>
      </c>
      <c r="E63" s="379" t="s">
        <v>3</v>
      </c>
      <c r="F63" s="381" t="s">
        <v>3</v>
      </c>
      <c r="G63" s="271" t="s">
        <v>122</v>
      </c>
      <c r="H63" s="234">
        <f>SUM(H64:H64)</f>
        <v>0</v>
      </c>
      <c r="I63" s="382">
        <f>SUM(I64:I64)</f>
        <v>0</v>
      </c>
      <c r="J63" s="174">
        <f>SUM(J64:J64)</f>
        <v>0</v>
      </c>
      <c r="K63" s="234">
        <f>SUM(K64:K64)</f>
        <v>0</v>
      </c>
    </row>
    <row r="64" spans="1:11" ht="13.5" thickBot="1">
      <c r="A64" s="383"/>
      <c r="B64" s="384"/>
      <c r="C64" s="385"/>
      <c r="D64" s="386"/>
      <c r="E64" s="386">
        <v>4223</v>
      </c>
      <c r="F64" s="387" t="s">
        <v>227</v>
      </c>
      <c r="G64" s="388" t="s">
        <v>226</v>
      </c>
      <c r="H64" s="53">
        <v>0</v>
      </c>
      <c r="I64" s="53">
        <v>0</v>
      </c>
      <c r="J64" s="204"/>
      <c r="K64" s="258">
        <f>I64+J64</f>
        <v>0</v>
      </c>
    </row>
    <row r="65" ht="12.75">
      <c r="J65" s="389"/>
    </row>
  </sheetData>
  <sheetProtection/>
  <mergeCells count="12"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8"/>
  <sheetViews>
    <sheetView zoomScalePageLayoutView="0" workbookViewId="0" topLeftCell="A43">
      <selection activeCell="I50" sqref="I50"/>
    </sheetView>
  </sheetViews>
  <sheetFormatPr defaultColWidth="9.140625" defaultRowHeight="12.75"/>
  <cols>
    <col min="1" max="2" width="3.851562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1.2812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J1" s="416"/>
    </row>
    <row r="3" spans="1:10" ht="15">
      <c r="A3" s="417" t="s">
        <v>163</v>
      </c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2.75">
      <c r="A4" s="288"/>
      <c r="B4" s="288"/>
      <c r="C4" s="288"/>
      <c r="D4" s="288"/>
      <c r="E4" s="288"/>
      <c r="F4" s="288"/>
      <c r="G4" s="288"/>
      <c r="H4" s="288"/>
      <c r="I4" s="288"/>
      <c r="J4" s="289"/>
    </row>
    <row r="5" spans="1:10" ht="15">
      <c r="A5" s="418" t="s">
        <v>34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10" ht="12" customHeight="1" thickBot="1">
      <c r="A6" s="290"/>
      <c r="B6" s="290"/>
      <c r="C6" s="290"/>
      <c r="D6" s="290"/>
      <c r="E6" s="290"/>
      <c r="F6" s="290"/>
      <c r="G6" s="290"/>
      <c r="H6" s="290"/>
      <c r="I6" s="290"/>
      <c r="J6" s="291" t="s">
        <v>164</v>
      </c>
    </row>
    <row r="7" spans="1:10" ht="12.75" customHeight="1" thickBot="1">
      <c r="A7" s="419" t="s">
        <v>69</v>
      </c>
      <c r="B7" s="421" t="s">
        <v>4</v>
      </c>
      <c r="C7" s="423" t="s">
        <v>6</v>
      </c>
      <c r="D7" s="423" t="s">
        <v>7</v>
      </c>
      <c r="E7" s="423" t="s">
        <v>8</v>
      </c>
      <c r="F7" s="425" t="s">
        <v>165</v>
      </c>
      <c r="G7" s="427" t="s">
        <v>71</v>
      </c>
      <c r="H7" s="429" t="s">
        <v>72</v>
      </c>
      <c r="I7" s="431" t="s">
        <v>230</v>
      </c>
      <c r="J7" s="432"/>
    </row>
    <row r="8" spans="1:10" ht="12.75" customHeight="1" thickBot="1">
      <c r="A8" s="420"/>
      <c r="B8" s="422"/>
      <c r="C8" s="424"/>
      <c r="D8" s="424"/>
      <c r="E8" s="424"/>
      <c r="F8" s="426"/>
      <c r="G8" s="428"/>
      <c r="H8" s="430"/>
      <c r="I8" s="294" t="s">
        <v>22</v>
      </c>
      <c r="J8" s="295" t="s">
        <v>73</v>
      </c>
    </row>
    <row r="9" spans="1:10" ht="12.75" customHeight="1" thickBot="1">
      <c r="A9" s="433" t="s">
        <v>32</v>
      </c>
      <c r="B9" s="296" t="s">
        <v>5</v>
      </c>
      <c r="C9" s="292" t="s">
        <v>6</v>
      </c>
      <c r="D9" s="292" t="s">
        <v>7</v>
      </c>
      <c r="E9" s="292" t="s">
        <v>8</v>
      </c>
      <c r="F9" s="293" t="s">
        <v>166</v>
      </c>
      <c r="G9" s="297">
        <f>G10+G35+G45</f>
        <v>627223.8200000001</v>
      </c>
      <c r="H9" s="297">
        <f>H10+H35+H45</f>
        <v>782417.1799999999</v>
      </c>
      <c r="I9" s="297">
        <f>I10+I35+I45</f>
        <v>-4482</v>
      </c>
      <c r="J9" s="298">
        <f>J10+J35+J45</f>
        <v>777935.1799999999</v>
      </c>
    </row>
    <row r="10" spans="1:10" ht="12.75" customHeight="1" thickBot="1">
      <c r="A10" s="434"/>
      <c r="B10" s="299" t="s">
        <v>77</v>
      </c>
      <c r="C10" s="300" t="s">
        <v>3</v>
      </c>
      <c r="D10" s="301" t="s">
        <v>3</v>
      </c>
      <c r="E10" s="301" t="s">
        <v>3</v>
      </c>
      <c r="F10" s="302" t="s">
        <v>167</v>
      </c>
      <c r="G10" s="303">
        <f>G11+G18+G20+G25+G28+G30+G33</f>
        <v>2542.4300000000003</v>
      </c>
      <c r="H10" s="303">
        <f>H11+H18+H20+H25+H28+H30+H33</f>
        <v>4323.597</v>
      </c>
      <c r="I10" s="303">
        <f>I11+I18+I20+I25+I28+I30+I33</f>
        <v>0</v>
      </c>
      <c r="J10" s="304">
        <f>J11+J18+J20+J25+J28+J30+J33</f>
        <v>4323.597</v>
      </c>
    </row>
    <row r="11" spans="1:10" ht="12.75" customHeight="1">
      <c r="A11" s="434"/>
      <c r="B11" s="305" t="s">
        <v>168</v>
      </c>
      <c r="C11" s="306" t="s">
        <v>169</v>
      </c>
      <c r="D11" s="307">
        <v>2229</v>
      </c>
      <c r="E11" s="307" t="s">
        <v>3</v>
      </c>
      <c r="F11" s="308" t="s">
        <v>170</v>
      </c>
      <c r="G11" s="309">
        <f>SUM(G12:G17)</f>
        <v>1542.43</v>
      </c>
      <c r="H11" s="309">
        <f>SUM(H12:H17)</f>
        <v>1920.28</v>
      </c>
      <c r="I11" s="310">
        <f>SUM(I12:I17)</f>
        <v>0</v>
      </c>
      <c r="J11" s="309">
        <f>SUM(J12:J17)</f>
        <v>1920.28</v>
      </c>
    </row>
    <row r="12" spans="1:10" ht="12.75" customHeight="1">
      <c r="A12" s="434"/>
      <c r="B12" s="311"/>
      <c r="C12" s="312"/>
      <c r="D12" s="313"/>
      <c r="E12" s="314">
        <v>5122</v>
      </c>
      <c r="F12" s="315" t="s">
        <v>171</v>
      </c>
      <c r="G12" s="166">
        <v>0</v>
      </c>
      <c r="H12" s="166">
        <f>10+20+10</f>
        <v>40</v>
      </c>
      <c r="I12" s="316"/>
      <c r="J12" s="317">
        <f aca="true" t="shared" si="0" ref="J12:J17">H12+I12</f>
        <v>40</v>
      </c>
    </row>
    <row r="13" spans="1:10" ht="12.75" customHeight="1">
      <c r="A13" s="434"/>
      <c r="B13" s="311"/>
      <c r="C13" s="312"/>
      <c r="D13" s="313"/>
      <c r="E13" s="318">
        <v>5139</v>
      </c>
      <c r="F13" s="319" t="s">
        <v>172</v>
      </c>
      <c r="G13" s="166">
        <v>100</v>
      </c>
      <c r="H13" s="166">
        <v>100</v>
      </c>
      <c r="I13" s="316"/>
      <c r="J13" s="317">
        <f t="shared" si="0"/>
        <v>100</v>
      </c>
    </row>
    <row r="14" spans="1:10" ht="12.75" customHeight="1">
      <c r="A14" s="434"/>
      <c r="B14" s="311"/>
      <c r="C14" s="312"/>
      <c r="D14" s="313"/>
      <c r="E14" s="320">
        <v>5166</v>
      </c>
      <c r="F14" s="319" t="s">
        <v>173</v>
      </c>
      <c r="G14" s="166">
        <v>750</v>
      </c>
      <c r="H14" s="166">
        <f>750-600-24</f>
        <v>126</v>
      </c>
      <c r="I14" s="316"/>
      <c r="J14" s="317">
        <f t="shared" si="0"/>
        <v>126</v>
      </c>
    </row>
    <row r="15" spans="1:10" ht="12.75" customHeight="1">
      <c r="A15" s="434"/>
      <c r="B15" s="311"/>
      <c r="C15" s="312"/>
      <c r="D15" s="313"/>
      <c r="E15" s="318">
        <v>5168</v>
      </c>
      <c r="F15" s="321" t="s">
        <v>174</v>
      </c>
      <c r="G15" s="166">
        <v>272.43</v>
      </c>
      <c r="H15" s="166">
        <v>272.43</v>
      </c>
      <c r="I15" s="316"/>
      <c r="J15" s="317">
        <f t="shared" si="0"/>
        <v>272.43</v>
      </c>
    </row>
    <row r="16" spans="1:10" ht="12.75" customHeight="1">
      <c r="A16" s="434"/>
      <c r="B16" s="311"/>
      <c r="C16" s="312"/>
      <c r="D16" s="313"/>
      <c r="E16" s="318">
        <v>5169</v>
      </c>
      <c r="F16" s="321" t="s">
        <v>175</v>
      </c>
      <c r="G16" s="166">
        <v>420</v>
      </c>
      <c r="H16" s="166">
        <f>420+219.85-150-22+590-1+300</f>
        <v>1356.85</v>
      </c>
      <c r="I16" s="316"/>
      <c r="J16" s="317">
        <f t="shared" si="0"/>
        <v>1356.85</v>
      </c>
    </row>
    <row r="17" spans="1:10" ht="12.75" customHeight="1">
      <c r="A17" s="434"/>
      <c r="B17" s="311"/>
      <c r="C17" s="312"/>
      <c r="D17" s="313"/>
      <c r="E17" s="322">
        <v>5365</v>
      </c>
      <c r="F17" s="323" t="s">
        <v>176</v>
      </c>
      <c r="G17" s="166">
        <v>0</v>
      </c>
      <c r="H17" s="166">
        <f>1+24</f>
        <v>25</v>
      </c>
      <c r="I17" s="316"/>
      <c r="J17" s="317">
        <f t="shared" si="0"/>
        <v>25</v>
      </c>
    </row>
    <row r="18" spans="1:10" ht="12.75" customHeight="1">
      <c r="A18" s="434"/>
      <c r="B18" s="324" t="s">
        <v>168</v>
      </c>
      <c r="C18" s="325" t="s">
        <v>177</v>
      </c>
      <c r="D18" s="326">
        <v>2229</v>
      </c>
      <c r="E18" s="326" t="s">
        <v>3</v>
      </c>
      <c r="F18" s="327" t="s">
        <v>178</v>
      </c>
      <c r="G18" s="328">
        <f>SUM(G19:G19)</f>
        <v>0</v>
      </c>
      <c r="H18" s="328">
        <f>SUM(H19:H19)</f>
        <v>140</v>
      </c>
      <c r="I18" s="328">
        <f>SUM(I19:I19)</f>
        <v>0</v>
      </c>
      <c r="J18" s="329">
        <f>SUM(J19:J19)</f>
        <v>140</v>
      </c>
    </row>
    <row r="19" spans="1:10" ht="12.75" customHeight="1">
      <c r="A19" s="434"/>
      <c r="B19" s="311"/>
      <c r="C19" s="312"/>
      <c r="D19" s="313"/>
      <c r="E19" s="314">
        <v>5169</v>
      </c>
      <c r="F19" s="323" t="s">
        <v>175</v>
      </c>
      <c r="G19" s="287">
        <v>0</v>
      </c>
      <c r="H19" s="330">
        <v>140</v>
      </c>
      <c r="I19" s="330"/>
      <c r="J19" s="317">
        <f>H19+I19</f>
        <v>140</v>
      </c>
    </row>
    <row r="20" spans="1:10" ht="12.75" customHeight="1">
      <c r="A20" s="434"/>
      <c r="B20" s="331" t="s">
        <v>168</v>
      </c>
      <c r="C20" s="332" t="s">
        <v>179</v>
      </c>
      <c r="D20" s="333">
        <v>2229</v>
      </c>
      <c r="E20" s="333" t="s">
        <v>3</v>
      </c>
      <c r="F20" s="334" t="s">
        <v>180</v>
      </c>
      <c r="G20" s="329">
        <f>SUM(G21:G24)</f>
        <v>50</v>
      </c>
      <c r="H20" s="329">
        <f>SUM(H21:H24)</f>
        <v>50</v>
      </c>
      <c r="I20" s="328">
        <f>SUM(I21:I24)</f>
        <v>0</v>
      </c>
      <c r="J20" s="329">
        <f>SUM(J21:J24)</f>
        <v>50</v>
      </c>
    </row>
    <row r="21" spans="1:10" ht="12.75" customHeight="1">
      <c r="A21" s="434"/>
      <c r="B21" s="235"/>
      <c r="C21" s="335"/>
      <c r="D21" s="318"/>
      <c r="E21" s="318">
        <v>5167</v>
      </c>
      <c r="F21" s="315" t="s">
        <v>181</v>
      </c>
      <c r="G21" s="166">
        <v>10</v>
      </c>
      <c r="H21" s="166">
        <v>10</v>
      </c>
      <c r="I21" s="330"/>
      <c r="J21" s="317">
        <f>H21+I21</f>
        <v>10</v>
      </c>
    </row>
    <row r="22" spans="1:10" ht="12.75" customHeight="1">
      <c r="A22" s="434"/>
      <c r="B22" s="235"/>
      <c r="C22" s="335"/>
      <c r="D22" s="318"/>
      <c r="E22" s="318">
        <v>5169</v>
      </c>
      <c r="F22" s="336" t="s">
        <v>175</v>
      </c>
      <c r="G22" s="166">
        <v>30</v>
      </c>
      <c r="H22" s="166">
        <f>30-9</f>
        <v>21</v>
      </c>
      <c r="I22" s="330"/>
      <c r="J22" s="317">
        <f>H22+I22</f>
        <v>21</v>
      </c>
    </row>
    <row r="23" spans="1:10" ht="12.75" customHeight="1">
      <c r="A23" s="434"/>
      <c r="B23" s="235"/>
      <c r="C23" s="335"/>
      <c r="D23" s="318"/>
      <c r="E23" s="314">
        <v>5173</v>
      </c>
      <c r="F23" s="239" t="s">
        <v>182</v>
      </c>
      <c r="G23" s="166">
        <v>0</v>
      </c>
      <c r="H23" s="166">
        <f>9+5</f>
        <v>14</v>
      </c>
      <c r="I23" s="330"/>
      <c r="J23" s="317">
        <f>H23+I23</f>
        <v>14</v>
      </c>
    </row>
    <row r="24" spans="1:10" ht="12.75" customHeight="1">
      <c r="A24" s="434"/>
      <c r="B24" s="331"/>
      <c r="C24" s="332"/>
      <c r="D24" s="333"/>
      <c r="E24" s="318">
        <v>5175</v>
      </c>
      <c r="F24" s="321" t="s">
        <v>183</v>
      </c>
      <c r="G24" s="166">
        <v>10</v>
      </c>
      <c r="H24" s="166">
        <f>10-5</f>
        <v>5</v>
      </c>
      <c r="I24" s="330"/>
      <c r="J24" s="317">
        <f>H24+I24</f>
        <v>5</v>
      </c>
    </row>
    <row r="25" spans="1:10" ht="12.75" customHeight="1">
      <c r="A25" s="434"/>
      <c r="B25" s="337" t="s">
        <v>168</v>
      </c>
      <c r="C25" s="332" t="s">
        <v>184</v>
      </c>
      <c r="D25" s="333">
        <v>2219</v>
      </c>
      <c r="E25" s="333" t="s">
        <v>3</v>
      </c>
      <c r="F25" s="334" t="s">
        <v>185</v>
      </c>
      <c r="G25" s="329">
        <f>SUM(G26:G27)</f>
        <v>250</v>
      </c>
      <c r="H25" s="329">
        <f>SUM(H26:H27)</f>
        <v>1002.862</v>
      </c>
      <c r="I25" s="328">
        <f>SUM(I26:I27)</f>
        <v>0</v>
      </c>
      <c r="J25" s="329">
        <f>SUM(J26:J27)</f>
        <v>1002.862</v>
      </c>
    </row>
    <row r="26" spans="1:10" ht="12.75" customHeight="1">
      <c r="A26" s="434"/>
      <c r="B26" s="311"/>
      <c r="C26" s="312"/>
      <c r="D26" s="313"/>
      <c r="E26" s="314">
        <v>5139</v>
      </c>
      <c r="F26" s="315" t="s">
        <v>172</v>
      </c>
      <c r="G26" s="166">
        <v>50</v>
      </c>
      <c r="H26" s="56">
        <f>50+405.592</f>
        <v>455.592</v>
      </c>
      <c r="I26" s="316"/>
      <c r="J26" s="317">
        <f>H26+I26</f>
        <v>455.592</v>
      </c>
    </row>
    <row r="27" spans="1:10" ht="12.75" customHeight="1">
      <c r="A27" s="434"/>
      <c r="B27" s="338"/>
      <c r="C27" s="339"/>
      <c r="D27" s="333"/>
      <c r="E27" s="322">
        <v>5169</v>
      </c>
      <c r="F27" s="315" t="s">
        <v>175</v>
      </c>
      <c r="G27" s="166">
        <v>200</v>
      </c>
      <c r="H27" s="91">
        <f>200+347.27</f>
        <v>547.27</v>
      </c>
      <c r="I27" s="330"/>
      <c r="J27" s="317">
        <f>H27+I27</f>
        <v>547.27</v>
      </c>
    </row>
    <row r="28" spans="1:10" ht="12.75" customHeight="1">
      <c r="A28" s="434"/>
      <c r="B28" s="337" t="s">
        <v>168</v>
      </c>
      <c r="C28" s="332" t="s">
        <v>186</v>
      </c>
      <c r="D28" s="333">
        <v>2229</v>
      </c>
      <c r="E28" s="333" t="s">
        <v>3</v>
      </c>
      <c r="F28" s="334" t="s">
        <v>187</v>
      </c>
      <c r="G28" s="329">
        <f>SUM(G29:G29)</f>
        <v>500</v>
      </c>
      <c r="H28" s="329">
        <f>SUM(H29:H29)</f>
        <v>1050</v>
      </c>
      <c r="I28" s="328">
        <f>SUM(I29:I29)</f>
        <v>0</v>
      </c>
      <c r="J28" s="329">
        <f>SUM(J29:J29)</f>
        <v>1050</v>
      </c>
    </row>
    <row r="29" spans="1:10" ht="12.75" customHeight="1">
      <c r="A29" s="434"/>
      <c r="B29" s="338"/>
      <c r="C29" s="339"/>
      <c r="D29" s="333"/>
      <c r="E29" s="314">
        <v>5909</v>
      </c>
      <c r="F29" s="323" t="s">
        <v>188</v>
      </c>
      <c r="G29" s="56">
        <v>500</v>
      </c>
      <c r="H29" s="56">
        <f>500+50+500</f>
        <v>1050</v>
      </c>
      <c r="I29" s="330"/>
      <c r="J29" s="317">
        <f>H29+I29</f>
        <v>1050</v>
      </c>
    </row>
    <row r="30" spans="1:10" ht="12.75" customHeight="1">
      <c r="A30" s="434"/>
      <c r="B30" s="337" t="s">
        <v>168</v>
      </c>
      <c r="C30" s="332" t="s">
        <v>189</v>
      </c>
      <c r="D30" s="333">
        <v>2291</v>
      </c>
      <c r="E30" s="333" t="s">
        <v>3</v>
      </c>
      <c r="F30" s="334" t="s">
        <v>190</v>
      </c>
      <c r="G30" s="329">
        <f>SUM(G31:G32)</f>
        <v>50</v>
      </c>
      <c r="H30" s="329">
        <f>SUM(H31:H32)</f>
        <v>50</v>
      </c>
      <c r="I30" s="328">
        <f>SUM(I31:I32)</f>
        <v>0</v>
      </c>
      <c r="J30" s="329">
        <f>SUM(J31:J32)</f>
        <v>50</v>
      </c>
    </row>
    <row r="31" spans="1:10" ht="12.75" customHeight="1">
      <c r="A31" s="434"/>
      <c r="B31" s="338"/>
      <c r="C31" s="339"/>
      <c r="D31" s="340"/>
      <c r="E31" s="318">
        <v>5169</v>
      </c>
      <c r="F31" s="319" t="s">
        <v>191</v>
      </c>
      <c r="G31" s="341">
        <v>30</v>
      </c>
      <c r="H31" s="341">
        <v>30</v>
      </c>
      <c r="I31" s="342"/>
      <c r="J31" s="317">
        <f>H31+I31</f>
        <v>30</v>
      </c>
    </row>
    <row r="32" spans="1:10" ht="12.75" customHeight="1">
      <c r="A32" s="434"/>
      <c r="B32" s="343"/>
      <c r="C32" s="335"/>
      <c r="D32" s="318"/>
      <c r="E32" s="318">
        <v>5175</v>
      </c>
      <c r="F32" s="319" t="s">
        <v>183</v>
      </c>
      <c r="G32" s="56">
        <v>20</v>
      </c>
      <c r="H32" s="56">
        <v>20</v>
      </c>
      <c r="I32" s="330"/>
      <c r="J32" s="56">
        <f>H32+I32</f>
        <v>20</v>
      </c>
    </row>
    <row r="33" spans="1:10" ht="12.75" customHeight="1">
      <c r="A33" s="434"/>
      <c r="B33" s="344" t="s">
        <v>168</v>
      </c>
      <c r="C33" s="345" t="s">
        <v>192</v>
      </c>
      <c r="D33" s="346">
        <v>6310</v>
      </c>
      <c r="E33" s="347" t="s">
        <v>3</v>
      </c>
      <c r="F33" s="348" t="s">
        <v>193</v>
      </c>
      <c r="G33" s="349">
        <f>SUM(G34:G34)</f>
        <v>150</v>
      </c>
      <c r="H33" s="349">
        <f>SUM(H34:H34)</f>
        <v>110.45500000000001</v>
      </c>
      <c r="I33" s="350">
        <f>SUM(I34:I34)</f>
        <v>0</v>
      </c>
      <c r="J33" s="351">
        <f>SUM(J34:J34)</f>
        <v>110.45500000000001</v>
      </c>
    </row>
    <row r="34" spans="1:10" ht="12.75" customHeight="1" thickBot="1">
      <c r="A34" s="434"/>
      <c r="B34" s="338"/>
      <c r="C34" s="339"/>
      <c r="D34" s="333"/>
      <c r="E34" s="352">
        <v>5163</v>
      </c>
      <c r="F34" s="353" t="s">
        <v>194</v>
      </c>
      <c r="G34" s="166">
        <v>150</v>
      </c>
      <c r="H34" s="166">
        <f>150+8.455-48</f>
        <v>110.45500000000001</v>
      </c>
      <c r="I34" s="330"/>
      <c r="J34" s="317">
        <f>H34+I34</f>
        <v>110.45500000000001</v>
      </c>
    </row>
    <row r="35" spans="1:10" ht="12.75" customHeight="1" thickBot="1">
      <c r="A35" s="434"/>
      <c r="B35" s="354" t="s">
        <v>77</v>
      </c>
      <c r="C35" s="300" t="s">
        <v>3</v>
      </c>
      <c r="D35" s="301" t="s">
        <v>3</v>
      </c>
      <c r="E35" s="301" t="s">
        <v>3</v>
      </c>
      <c r="F35" s="302" t="s">
        <v>195</v>
      </c>
      <c r="G35" s="303">
        <f>G36+G42</f>
        <v>2372</v>
      </c>
      <c r="H35" s="303">
        <f>H36+H42</f>
        <v>2727.08</v>
      </c>
      <c r="I35" s="303">
        <f>I36+I42</f>
        <v>0</v>
      </c>
      <c r="J35" s="304">
        <f>J36+J42</f>
        <v>2727.08</v>
      </c>
    </row>
    <row r="36" spans="1:10" ht="12.75" customHeight="1">
      <c r="A36" s="434"/>
      <c r="B36" s="355" t="s">
        <v>168</v>
      </c>
      <c r="C36" s="306" t="s">
        <v>196</v>
      </c>
      <c r="D36" s="307">
        <v>2223</v>
      </c>
      <c r="E36" s="307" t="s">
        <v>3</v>
      </c>
      <c r="F36" s="308" t="s">
        <v>197</v>
      </c>
      <c r="G36" s="309">
        <f>SUM(G37:G41)</f>
        <v>2000</v>
      </c>
      <c r="H36" s="309">
        <f>SUM(H37:H41)</f>
        <v>2347.08</v>
      </c>
      <c r="I36" s="310">
        <f>SUM(I37:I41)</f>
        <v>0</v>
      </c>
      <c r="J36" s="309">
        <f>SUM(J37:J41)</f>
        <v>2347.08</v>
      </c>
    </row>
    <row r="37" spans="1:10" s="220" customFormat="1" ht="12.75" customHeight="1">
      <c r="A37" s="434"/>
      <c r="B37" s="343"/>
      <c r="C37" s="335"/>
      <c r="D37" s="318"/>
      <c r="E37" s="318">
        <v>5139</v>
      </c>
      <c r="F37" s="319" t="s">
        <v>172</v>
      </c>
      <c r="G37" s="356">
        <v>100</v>
      </c>
      <c r="H37" s="391">
        <f>100+100</f>
        <v>200</v>
      </c>
      <c r="I37" s="357"/>
      <c r="J37" s="317">
        <f>H37+I37</f>
        <v>200</v>
      </c>
    </row>
    <row r="38" spans="1:10" s="220" customFormat="1" ht="12.75" customHeight="1">
      <c r="A38" s="434"/>
      <c r="B38" s="343"/>
      <c r="C38" s="335"/>
      <c r="D38" s="318"/>
      <c r="E38" s="314">
        <v>5164</v>
      </c>
      <c r="F38" s="323" t="s">
        <v>198</v>
      </c>
      <c r="G38" s="356">
        <v>0</v>
      </c>
      <c r="H38" s="356">
        <v>2</v>
      </c>
      <c r="I38" s="357"/>
      <c r="J38" s="317">
        <f>H38+I38</f>
        <v>2</v>
      </c>
    </row>
    <row r="39" spans="1:10" s="220" customFormat="1" ht="12.75" customHeight="1">
      <c r="A39" s="434"/>
      <c r="B39" s="343"/>
      <c r="C39" s="335"/>
      <c r="D39" s="318"/>
      <c r="E39" s="318">
        <v>5169</v>
      </c>
      <c r="F39" s="321" t="s">
        <v>175</v>
      </c>
      <c r="G39" s="356">
        <v>1880</v>
      </c>
      <c r="H39" s="356">
        <f>1880+355.08-8-33-100</f>
        <v>2094.08</v>
      </c>
      <c r="I39" s="357"/>
      <c r="J39" s="317">
        <f>H39+I39</f>
        <v>2094.08</v>
      </c>
    </row>
    <row r="40" spans="1:10" s="220" customFormat="1" ht="12.75" customHeight="1">
      <c r="A40" s="434"/>
      <c r="B40" s="343"/>
      <c r="C40" s="335"/>
      <c r="D40" s="318"/>
      <c r="E40" s="314">
        <v>5173</v>
      </c>
      <c r="F40" s="239" t="s">
        <v>182</v>
      </c>
      <c r="G40" s="356">
        <v>0</v>
      </c>
      <c r="H40" s="356">
        <v>1</v>
      </c>
      <c r="I40" s="357"/>
      <c r="J40" s="317">
        <f>H40+I40</f>
        <v>1</v>
      </c>
    </row>
    <row r="41" spans="1:10" s="220" customFormat="1" ht="12.75" customHeight="1">
      <c r="A41" s="434"/>
      <c r="B41" s="343"/>
      <c r="C41" s="335"/>
      <c r="D41" s="318"/>
      <c r="E41" s="318">
        <v>5175</v>
      </c>
      <c r="F41" s="336" t="s">
        <v>183</v>
      </c>
      <c r="G41" s="356">
        <v>20</v>
      </c>
      <c r="H41" s="356">
        <f>20+30</f>
        <v>50</v>
      </c>
      <c r="I41" s="357"/>
      <c r="J41" s="317">
        <f>H41+I41</f>
        <v>50</v>
      </c>
    </row>
    <row r="42" spans="1:10" s="220" customFormat="1" ht="12.75" customHeight="1">
      <c r="A42" s="434"/>
      <c r="B42" s="344" t="s">
        <v>168</v>
      </c>
      <c r="C42" s="345" t="s">
        <v>199</v>
      </c>
      <c r="D42" s="346">
        <v>2223</v>
      </c>
      <c r="E42" s="346" t="s">
        <v>3</v>
      </c>
      <c r="F42" s="358" t="s">
        <v>200</v>
      </c>
      <c r="G42" s="350">
        <f>SUM(G43:G44)</f>
        <v>372</v>
      </c>
      <c r="H42" s="350">
        <f>SUM(H43:H44)</f>
        <v>380</v>
      </c>
      <c r="I42" s="350">
        <f>SUM(I43:I44)</f>
        <v>0</v>
      </c>
      <c r="J42" s="329">
        <f>SUM(J43:J44)</f>
        <v>380</v>
      </c>
    </row>
    <row r="43" spans="1:10" s="220" customFormat="1" ht="12.75" customHeight="1">
      <c r="A43" s="434"/>
      <c r="B43" s="344"/>
      <c r="C43" s="345"/>
      <c r="D43" s="346"/>
      <c r="E43" s="318">
        <v>5164</v>
      </c>
      <c r="F43" s="321" t="s">
        <v>198</v>
      </c>
      <c r="G43" s="356">
        <v>180</v>
      </c>
      <c r="H43" s="356">
        <f>180+8</f>
        <v>188</v>
      </c>
      <c r="I43" s="357"/>
      <c r="J43" s="317">
        <f>H43+I43</f>
        <v>188</v>
      </c>
    </row>
    <row r="44" spans="1:10" s="220" customFormat="1" ht="12.75" customHeight="1" thickBot="1">
      <c r="A44" s="434"/>
      <c r="B44" s="343"/>
      <c r="C44" s="335"/>
      <c r="D44" s="318"/>
      <c r="E44" s="318">
        <v>5169</v>
      </c>
      <c r="F44" s="321" t="s">
        <v>175</v>
      </c>
      <c r="G44" s="356">
        <v>192</v>
      </c>
      <c r="H44" s="356">
        <v>192</v>
      </c>
      <c r="I44" s="357"/>
      <c r="J44" s="317">
        <f>H44+I44</f>
        <v>192</v>
      </c>
    </row>
    <row r="45" spans="1:10" ht="12.75" customHeight="1" thickBot="1">
      <c r="A45" s="434"/>
      <c r="B45" s="299" t="s">
        <v>77</v>
      </c>
      <c r="C45" s="300" t="s">
        <v>3</v>
      </c>
      <c r="D45" s="301" t="s">
        <v>3</v>
      </c>
      <c r="E45" s="301" t="s">
        <v>3</v>
      </c>
      <c r="F45" s="302" t="s">
        <v>201</v>
      </c>
      <c r="G45" s="303">
        <f>G46+G48+G51+G53+G55+G61+G63+G65+G67</f>
        <v>622309.39</v>
      </c>
      <c r="H45" s="303">
        <f>H46+H48+H51+H53+H55+H61+H63+H65+H67</f>
        <v>775366.5029999999</v>
      </c>
      <c r="I45" s="303">
        <f>I46+I48+I51+I53+I55+I61+I63+I65+I67</f>
        <v>-4482</v>
      </c>
      <c r="J45" s="304">
        <f>J46+J48+J51+J53+J55+J61+J63+J65+J67</f>
        <v>770884.5029999999</v>
      </c>
    </row>
    <row r="46" spans="1:10" ht="12.75" customHeight="1">
      <c r="A46" s="434"/>
      <c r="B46" s="305" t="s">
        <v>168</v>
      </c>
      <c r="C46" s="306" t="s">
        <v>202</v>
      </c>
      <c r="D46" s="307">
        <v>2293</v>
      </c>
      <c r="E46" s="307" t="s">
        <v>3</v>
      </c>
      <c r="F46" s="308" t="s">
        <v>203</v>
      </c>
      <c r="G46" s="309">
        <f>SUM(G47)</f>
        <v>305000</v>
      </c>
      <c r="H46" s="309">
        <f>SUM(H47)</f>
        <v>330000</v>
      </c>
      <c r="I46" s="310">
        <f>SUM(I47)</f>
        <v>0</v>
      </c>
      <c r="J46" s="309">
        <f>SUM(J47)</f>
        <v>330000</v>
      </c>
    </row>
    <row r="47" spans="1:10" ht="12.75" customHeight="1">
      <c r="A47" s="434"/>
      <c r="B47" s="235"/>
      <c r="C47" s="335"/>
      <c r="D47" s="318"/>
      <c r="E47" s="318">
        <v>5193</v>
      </c>
      <c r="F47" s="319" t="s">
        <v>204</v>
      </c>
      <c r="G47" s="166">
        <v>305000</v>
      </c>
      <c r="H47" s="166">
        <f>305000+25000</f>
        <v>330000</v>
      </c>
      <c r="I47" s="330"/>
      <c r="J47" s="317">
        <f>H47+I47</f>
        <v>330000</v>
      </c>
    </row>
    <row r="48" spans="1:10" ht="12.75" customHeight="1">
      <c r="A48" s="434"/>
      <c r="B48" s="331" t="s">
        <v>168</v>
      </c>
      <c r="C48" s="332" t="s">
        <v>205</v>
      </c>
      <c r="D48" s="333">
        <v>2292</v>
      </c>
      <c r="E48" s="333" t="s">
        <v>3</v>
      </c>
      <c r="F48" s="359" t="s">
        <v>206</v>
      </c>
      <c r="G48" s="350">
        <f>SUM(G49:G50)</f>
        <v>295000</v>
      </c>
      <c r="H48" s="350">
        <f>SUM(H49:H50)</f>
        <v>410181.409</v>
      </c>
      <c r="I48" s="350">
        <f>SUM(I49:I50)</f>
        <v>-4482</v>
      </c>
      <c r="J48" s="329">
        <f>SUM(J49:J50)</f>
        <v>405699.409</v>
      </c>
    </row>
    <row r="49" spans="1:10" ht="12.75" customHeight="1">
      <c r="A49" s="434"/>
      <c r="B49" s="235"/>
      <c r="C49" s="335"/>
      <c r="D49" s="318"/>
      <c r="E49" s="318">
        <v>5193</v>
      </c>
      <c r="F49" s="319" t="s">
        <v>207</v>
      </c>
      <c r="G49" s="56">
        <v>295000</v>
      </c>
      <c r="H49" s="56">
        <f>295000+20000</f>
        <v>315000</v>
      </c>
      <c r="I49" s="330">
        <v>-4482</v>
      </c>
      <c r="J49" s="317">
        <f>H49+I49</f>
        <v>310518</v>
      </c>
    </row>
    <row r="50" spans="1:10" ht="12" customHeight="1">
      <c r="A50" s="434"/>
      <c r="B50" s="235"/>
      <c r="C50" s="360" t="s">
        <v>208</v>
      </c>
      <c r="D50" s="318"/>
      <c r="E50" s="318">
        <v>5193</v>
      </c>
      <c r="F50" s="319" t="s">
        <v>209</v>
      </c>
      <c r="G50" s="330">
        <v>0</v>
      </c>
      <c r="H50" s="361">
        <v>95181.409</v>
      </c>
      <c r="I50" s="361"/>
      <c r="J50" s="362">
        <f>H50+I50</f>
        <v>95181.409</v>
      </c>
    </row>
    <row r="51" spans="1:10" s="220" customFormat="1" ht="12.75" customHeight="1">
      <c r="A51" s="434"/>
      <c r="B51" s="331" t="s">
        <v>168</v>
      </c>
      <c r="C51" s="332" t="s">
        <v>210</v>
      </c>
      <c r="D51" s="333">
        <v>2293</v>
      </c>
      <c r="E51" s="333" t="s">
        <v>3</v>
      </c>
      <c r="F51" s="363" t="s">
        <v>211</v>
      </c>
      <c r="G51" s="329">
        <f>SUM(G52)</f>
        <v>12500</v>
      </c>
      <c r="H51" s="329">
        <f>SUM(H52)</f>
        <v>12500</v>
      </c>
      <c r="I51" s="328">
        <f>SUM(I52)</f>
        <v>0</v>
      </c>
      <c r="J51" s="329">
        <f>SUM(J52:J52)</f>
        <v>12500</v>
      </c>
    </row>
    <row r="52" spans="1:10" s="220" customFormat="1" ht="12.75" customHeight="1">
      <c r="A52" s="434"/>
      <c r="B52" s="235"/>
      <c r="C52" s="335"/>
      <c r="D52" s="318"/>
      <c r="E52" s="318">
        <v>5193</v>
      </c>
      <c r="F52" s="319" t="s">
        <v>212</v>
      </c>
      <c r="G52" s="56">
        <v>12500</v>
      </c>
      <c r="H52" s="56">
        <v>12500</v>
      </c>
      <c r="I52" s="330"/>
      <c r="J52" s="317">
        <f>H52+I52</f>
        <v>12500</v>
      </c>
    </row>
    <row r="53" spans="1:10" ht="12.75" customHeight="1">
      <c r="A53" s="434"/>
      <c r="B53" s="331" t="s">
        <v>168</v>
      </c>
      <c r="C53" s="332" t="s">
        <v>213</v>
      </c>
      <c r="D53" s="333">
        <v>2299</v>
      </c>
      <c r="E53" s="333" t="s">
        <v>3</v>
      </c>
      <c r="F53" s="334" t="s">
        <v>214</v>
      </c>
      <c r="G53" s="329">
        <f>SUM(G54:G54)</f>
        <v>10</v>
      </c>
      <c r="H53" s="329">
        <f>SUM(H54:H54)</f>
        <v>10</v>
      </c>
      <c r="I53" s="328">
        <f>SUM(I54:I54)</f>
        <v>0</v>
      </c>
      <c r="J53" s="329">
        <f>SUM(J54:J54)</f>
        <v>10</v>
      </c>
    </row>
    <row r="54" spans="1:10" ht="12.75" customHeight="1">
      <c r="A54" s="434"/>
      <c r="B54" s="364"/>
      <c r="C54" s="365"/>
      <c r="D54" s="340"/>
      <c r="E54" s="340">
        <v>5175</v>
      </c>
      <c r="F54" s="319" t="s">
        <v>183</v>
      </c>
      <c r="G54" s="56">
        <v>10</v>
      </c>
      <c r="H54" s="56">
        <v>10</v>
      </c>
      <c r="I54" s="330"/>
      <c r="J54" s="317">
        <f>H54+I54</f>
        <v>10</v>
      </c>
    </row>
    <row r="55" spans="1:10" ht="12.75" customHeight="1">
      <c r="A55" s="434"/>
      <c r="B55" s="331" t="s">
        <v>168</v>
      </c>
      <c r="C55" s="332" t="s">
        <v>215</v>
      </c>
      <c r="D55" s="333">
        <v>2299</v>
      </c>
      <c r="E55" s="333" t="s">
        <v>3</v>
      </c>
      <c r="F55" s="334" t="s">
        <v>216</v>
      </c>
      <c r="G55" s="329">
        <f>SUM(G56:G60)</f>
        <v>7224.39</v>
      </c>
      <c r="H55" s="329">
        <f>SUM(H56:H60)</f>
        <v>10501.554</v>
      </c>
      <c r="I55" s="328">
        <f>SUM(I56:I60)</f>
        <v>0</v>
      </c>
      <c r="J55" s="329">
        <f>SUM(J56:J60)</f>
        <v>10501.554</v>
      </c>
    </row>
    <row r="56" spans="1:10" s="220" customFormat="1" ht="12.75" customHeight="1">
      <c r="A56" s="434"/>
      <c r="B56" s="364"/>
      <c r="C56" s="365"/>
      <c r="D56" s="340"/>
      <c r="E56" s="313">
        <v>5139</v>
      </c>
      <c r="F56" s="366" t="s">
        <v>172</v>
      </c>
      <c r="G56" s="166">
        <v>200</v>
      </c>
      <c r="H56" s="166">
        <v>200</v>
      </c>
      <c r="I56" s="367"/>
      <c r="J56" s="317">
        <f>H56+I56</f>
        <v>200</v>
      </c>
    </row>
    <row r="57" spans="1:10" s="220" customFormat="1" ht="12.75" customHeight="1">
      <c r="A57" s="434"/>
      <c r="B57" s="364"/>
      <c r="C57" s="365"/>
      <c r="D57" s="340"/>
      <c r="E57" s="340">
        <v>5166</v>
      </c>
      <c r="F57" s="319" t="s">
        <v>173</v>
      </c>
      <c r="G57" s="166">
        <v>100</v>
      </c>
      <c r="H57" s="166">
        <v>100</v>
      </c>
      <c r="I57" s="367"/>
      <c r="J57" s="317">
        <f>H57+I57</f>
        <v>100</v>
      </c>
    </row>
    <row r="58" spans="1:10" s="220" customFormat="1" ht="12.75" customHeight="1">
      <c r="A58" s="434"/>
      <c r="B58" s="364"/>
      <c r="C58" s="365"/>
      <c r="D58" s="340"/>
      <c r="E58" s="340">
        <v>5168</v>
      </c>
      <c r="F58" s="319" t="s">
        <v>174</v>
      </c>
      <c r="G58" s="166">
        <v>1500</v>
      </c>
      <c r="H58" s="166">
        <f>1500+119.064</f>
        <v>1619.064</v>
      </c>
      <c r="I58" s="367"/>
      <c r="J58" s="317">
        <f>H58+I58</f>
        <v>1619.064</v>
      </c>
    </row>
    <row r="59" spans="1:10" s="220" customFormat="1" ht="12.75" customHeight="1">
      <c r="A59" s="434"/>
      <c r="B59" s="364"/>
      <c r="C59" s="365"/>
      <c r="D59" s="340"/>
      <c r="E59" s="340">
        <v>5169</v>
      </c>
      <c r="F59" s="319" t="s">
        <v>175</v>
      </c>
      <c r="G59" s="166">
        <v>5414.39</v>
      </c>
      <c r="H59" s="166">
        <f>5414.39+3158.1</f>
        <v>8572.49</v>
      </c>
      <c r="I59" s="367"/>
      <c r="J59" s="317">
        <f>H59+I59</f>
        <v>8572.49</v>
      </c>
    </row>
    <row r="60" spans="1:10" s="220" customFormat="1" ht="12.75" customHeight="1">
      <c r="A60" s="434"/>
      <c r="B60" s="235"/>
      <c r="C60" s="335"/>
      <c r="D60" s="318"/>
      <c r="E60" s="318">
        <v>5175</v>
      </c>
      <c r="F60" s="319" t="s">
        <v>183</v>
      </c>
      <c r="G60" s="166">
        <v>10</v>
      </c>
      <c r="H60" s="166">
        <v>10</v>
      </c>
      <c r="I60" s="357"/>
      <c r="J60" s="317">
        <f>H60+I60</f>
        <v>10</v>
      </c>
    </row>
    <row r="61" spans="1:10" ht="12.75" customHeight="1">
      <c r="A61" s="434"/>
      <c r="B61" s="368" t="s">
        <v>168</v>
      </c>
      <c r="C61" s="345" t="s">
        <v>217</v>
      </c>
      <c r="D61" s="346">
        <v>2299</v>
      </c>
      <c r="E61" s="346" t="s">
        <v>3</v>
      </c>
      <c r="F61" s="369" t="s">
        <v>218</v>
      </c>
      <c r="G61" s="351">
        <f>SUM(G62:G62)</f>
        <v>0</v>
      </c>
      <c r="H61" s="351">
        <f>SUM(H62:H62)</f>
        <v>1698.84</v>
      </c>
      <c r="I61" s="350">
        <f>SUM(I62:I62)</f>
        <v>0</v>
      </c>
      <c r="J61" s="351">
        <f>SUM(J62:J62)</f>
        <v>1698.84</v>
      </c>
    </row>
    <row r="62" spans="1:10" ht="12.75" customHeight="1">
      <c r="A62" s="434"/>
      <c r="B62" s="235"/>
      <c r="C62" s="335"/>
      <c r="D62" s="318"/>
      <c r="E62" s="237">
        <v>5166</v>
      </c>
      <c r="F62" s="315" t="s">
        <v>173</v>
      </c>
      <c r="G62" s="56">
        <v>0</v>
      </c>
      <c r="H62" s="330">
        <f>1698.84</f>
        <v>1698.84</v>
      </c>
      <c r="I62" s="330"/>
      <c r="J62" s="56">
        <f>H62+I62</f>
        <v>1698.84</v>
      </c>
    </row>
    <row r="63" spans="1:10" ht="12.75">
      <c r="A63" s="434"/>
      <c r="B63" s="370" t="s">
        <v>168</v>
      </c>
      <c r="C63" s="371" t="s">
        <v>219</v>
      </c>
      <c r="D63" s="347">
        <v>2299</v>
      </c>
      <c r="E63" s="347" t="s">
        <v>3</v>
      </c>
      <c r="F63" s="372" t="s">
        <v>220</v>
      </c>
      <c r="G63" s="349">
        <f>SUM(G64:G64)</f>
        <v>2575</v>
      </c>
      <c r="H63" s="349">
        <f>SUM(H64:H64)</f>
        <v>4474.7</v>
      </c>
      <c r="I63" s="350">
        <f>SUM(I64:I64)</f>
        <v>0</v>
      </c>
      <c r="J63" s="351">
        <f>SUM(J64:J64)</f>
        <v>4474.7</v>
      </c>
    </row>
    <row r="64" spans="1:10" ht="12.75">
      <c r="A64" s="434"/>
      <c r="B64" s="285"/>
      <c r="C64" s="373"/>
      <c r="D64" s="314"/>
      <c r="E64" s="314">
        <v>5169</v>
      </c>
      <c r="F64" s="315" t="s">
        <v>175</v>
      </c>
      <c r="G64" s="166">
        <v>2575</v>
      </c>
      <c r="H64" s="166">
        <f>2575+1173.7+726</f>
        <v>4474.7</v>
      </c>
      <c r="I64" s="330"/>
      <c r="J64" s="56">
        <f>H64+I64</f>
        <v>4474.7</v>
      </c>
    </row>
    <row r="65" spans="1:10" ht="12.75">
      <c r="A65" s="434"/>
      <c r="B65" s="370" t="s">
        <v>168</v>
      </c>
      <c r="C65" s="371" t="s">
        <v>221</v>
      </c>
      <c r="D65" s="347">
        <v>2299</v>
      </c>
      <c r="E65" s="347" t="s">
        <v>3</v>
      </c>
      <c r="F65" s="372" t="s">
        <v>222</v>
      </c>
      <c r="G65" s="349">
        <f>SUM(G66:G66)</f>
        <v>0</v>
      </c>
      <c r="H65" s="349">
        <f>SUM(H66:H66)</f>
        <v>3000</v>
      </c>
      <c r="I65" s="350">
        <f>SUM(I66:I66)</f>
        <v>0</v>
      </c>
      <c r="J65" s="351">
        <f>SUM(J66:J66)</f>
        <v>3000</v>
      </c>
    </row>
    <row r="66" spans="1:10" ht="12.75">
      <c r="A66" s="434"/>
      <c r="B66" s="374"/>
      <c r="C66" s="373"/>
      <c r="D66" s="314"/>
      <c r="E66" s="314">
        <v>5169</v>
      </c>
      <c r="F66" s="315" t="s">
        <v>175</v>
      </c>
      <c r="G66" s="166">
        <v>0</v>
      </c>
      <c r="H66" s="166">
        <v>3000</v>
      </c>
      <c r="I66" s="330"/>
      <c r="J66" s="56">
        <f>H66+I66</f>
        <v>3000</v>
      </c>
    </row>
    <row r="67" spans="1:10" ht="12.75">
      <c r="A67" s="434"/>
      <c r="B67" s="370" t="s">
        <v>168</v>
      </c>
      <c r="C67" s="371" t="s">
        <v>223</v>
      </c>
      <c r="D67" s="347">
        <v>2299</v>
      </c>
      <c r="E67" s="347" t="s">
        <v>3</v>
      </c>
      <c r="F67" s="372" t="s">
        <v>224</v>
      </c>
      <c r="G67" s="349">
        <f>SUM(G68:G68)</f>
        <v>0</v>
      </c>
      <c r="H67" s="349">
        <f>SUM(H68:H68)</f>
        <v>3000</v>
      </c>
      <c r="I67" s="350">
        <f>SUM(I68:I68)</f>
        <v>0</v>
      </c>
      <c r="J67" s="351">
        <f>SUM(J68:J68)</f>
        <v>3000</v>
      </c>
    </row>
    <row r="68" spans="1:10" ht="13.5" thickBot="1">
      <c r="A68" s="435"/>
      <c r="B68" s="375"/>
      <c r="C68" s="376"/>
      <c r="D68" s="148"/>
      <c r="E68" s="148">
        <v>5169</v>
      </c>
      <c r="F68" s="353" t="s">
        <v>175</v>
      </c>
      <c r="G68" s="127">
        <v>0</v>
      </c>
      <c r="H68" s="127">
        <v>3000</v>
      </c>
      <c r="I68" s="377"/>
      <c r="J68" s="53">
        <f>H68+I68</f>
        <v>3000</v>
      </c>
    </row>
  </sheetData>
  <sheetProtection/>
  <mergeCells count="13">
    <mergeCell ref="H7:H8"/>
    <mergeCell ref="I7:J7"/>
    <mergeCell ref="A9:A68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.57421875" style="52" customWidth="1"/>
    <col min="2" max="2" width="3.00390625" style="52" customWidth="1"/>
    <col min="3" max="3" width="9.7109375" style="52" customWidth="1"/>
    <col min="4" max="4" width="4.28125" style="52" customWidth="1"/>
    <col min="5" max="5" width="5.28125" style="52" customWidth="1"/>
    <col min="6" max="6" width="7.8515625" style="52" bestFit="1" customWidth="1"/>
    <col min="7" max="7" width="39.140625" style="52" customWidth="1"/>
    <col min="8" max="9" width="8.7109375" style="52" customWidth="1"/>
    <col min="10" max="10" width="10.421875" style="52" customWidth="1"/>
    <col min="11" max="11" width="8.7109375" style="52" customWidth="1"/>
    <col min="12" max="16384" width="9.140625" style="52" customWidth="1"/>
  </cols>
  <sheetData>
    <row r="1" spans="1:11" s="42" customFormat="1" ht="17.25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s="49" customFormat="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9" customFormat="1" ht="15.75" customHeight="1">
      <c r="A3" s="443" t="s">
        <v>125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1" ht="12.75">
      <c r="A4" s="43"/>
      <c r="B4" s="44"/>
      <c r="C4" s="45"/>
      <c r="D4" s="44"/>
      <c r="E4" s="44"/>
      <c r="F4" s="212"/>
      <c r="G4" s="46"/>
      <c r="H4" s="47"/>
      <c r="I4" s="47"/>
      <c r="J4" s="47"/>
      <c r="K4" s="48"/>
    </row>
    <row r="5" spans="1:11" ht="12.75" customHeight="1">
      <c r="A5" s="418" t="s">
        <v>34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1" ht="12.75" customHeight="1" thickBot="1">
      <c r="A6" s="50"/>
      <c r="B6" s="50"/>
      <c r="C6" s="50"/>
      <c r="D6" s="50"/>
      <c r="E6" s="50"/>
      <c r="F6" s="50"/>
      <c r="G6" s="50"/>
      <c r="H6" s="50"/>
      <c r="I6" s="51"/>
      <c r="K6" s="51" t="s">
        <v>35</v>
      </c>
    </row>
    <row r="7" spans="1:11" s="49" customFormat="1" ht="12.75" customHeight="1" thickBot="1">
      <c r="A7" s="436" t="s">
        <v>69</v>
      </c>
      <c r="B7" s="438" t="s">
        <v>4</v>
      </c>
      <c r="C7" s="444" t="s">
        <v>6</v>
      </c>
      <c r="D7" s="444" t="s">
        <v>7</v>
      </c>
      <c r="E7" s="444" t="s">
        <v>8</v>
      </c>
      <c r="F7" s="446" t="s">
        <v>83</v>
      </c>
      <c r="G7" s="448" t="s">
        <v>126</v>
      </c>
      <c r="H7" s="450" t="s">
        <v>71</v>
      </c>
      <c r="I7" s="448" t="s">
        <v>72</v>
      </c>
      <c r="J7" s="414" t="s">
        <v>229</v>
      </c>
      <c r="K7" s="415"/>
    </row>
    <row r="8" spans="1:11" ht="12.75" customHeight="1" thickBot="1">
      <c r="A8" s="437"/>
      <c r="B8" s="439"/>
      <c r="C8" s="445"/>
      <c r="D8" s="445"/>
      <c r="E8" s="445"/>
      <c r="F8" s="447"/>
      <c r="G8" s="449"/>
      <c r="H8" s="451"/>
      <c r="I8" s="449"/>
      <c r="J8" s="213" t="s">
        <v>22</v>
      </c>
      <c r="K8" s="214" t="s">
        <v>73</v>
      </c>
    </row>
    <row r="9" spans="1:11" s="220" customFormat="1" ht="13.5" customHeight="1" thickBot="1">
      <c r="A9" s="440" t="s">
        <v>32</v>
      </c>
      <c r="B9" s="215" t="s">
        <v>5</v>
      </c>
      <c r="C9" s="216" t="s">
        <v>6</v>
      </c>
      <c r="D9" s="216" t="s">
        <v>7</v>
      </c>
      <c r="E9" s="216" t="s">
        <v>8</v>
      </c>
      <c r="F9" s="217"/>
      <c r="G9" s="218" t="s">
        <v>127</v>
      </c>
      <c r="H9" s="219">
        <f>H10+H11</f>
        <v>90097.5</v>
      </c>
      <c r="I9" s="219">
        <f>I10+I11</f>
        <v>452842.42247</v>
      </c>
      <c r="J9" s="219">
        <f>J10+J11+J19</f>
        <v>5422.5</v>
      </c>
      <c r="K9" s="219">
        <f>K10+K11</f>
        <v>458264.92247</v>
      </c>
    </row>
    <row r="10" spans="1:11" s="220" customFormat="1" ht="13.5" customHeight="1" thickBot="1">
      <c r="A10" s="441"/>
      <c r="B10" s="221" t="s">
        <v>5</v>
      </c>
      <c r="C10" s="222" t="s">
        <v>3</v>
      </c>
      <c r="D10" s="223" t="s">
        <v>3</v>
      </c>
      <c r="E10" s="224" t="s">
        <v>3</v>
      </c>
      <c r="F10" s="225"/>
      <c r="G10" s="226" t="s">
        <v>128</v>
      </c>
      <c r="H10" s="227">
        <v>89620</v>
      </c>
      <c r="I10" s="227">
        <v>273680.5</v>
      </c>
      <c r="J10" s="227">
        <v>0</v>
      </c>
      <c r="K10" s="228">
        <f>I10+J10</f>
        <v>273680.5</v>
      </c>
    </row>
    <row r="11" spans="1:11" s="49" customFormat="1" ht="14.25" customHeight="1" thickBot="1">
      <c r="A11" s="441"/>
      <c r="B11" s="221" t="s">
        <v>5</v>
      </c>
      <c r="C11" s="222" t="s">
        <v>3</v>
      </c>
      <c r="D11" s="223" t="s">
        <v>3</v>
      </c>
      <c r="E11" s="224" t="s">
        <v>3</v>
      </c>
      <c r="F11" s="225"/>
      <c r="G11" s="226" t="s">
        <v>129</v>
      </c>
      <c r="H11" s="227">
        <f>H12+H19</f>
        <v>477.5</v>
      </c>
      <c r="I11" s="227">
        <f>I12+I19</f>
        <v>179161.92247</v>
      </c>
      <c r="J11" s="227">
        <f>J12</f>
        <v>0</v>
      </c>
      <c r="K11" s="228">
        <f>K12+K19</f>
        <v>184584.42247</v>
      </c>
    </row>
    <row r="12" spans="1:11" s="49" customFormat="1" ht="13.5" customHeight="1">
      <c r="A12" s="441"/>
      <c r="B12" s="229" t="s">
        <v>5</v>
      </c>
      <c r="C12" s="211" t="s">
        <v>130</v>
      </c>
      <c r="D12" s="230" t="s">
        <v>3</v>
      </c>
      <c r="E12" s="231" t="s">
        <v>3</v>
      </c>
      <c r="F12" s="232"/>
      <c r="G12" s="233" t="s">
        <v>131</v>
      </c>
      <c r="H12" s="234">
        <f>SUM(H13:H18)</f>
        <v>0</v>
      </c>
      <c r="I12" s="234">
        <f>SUM(I13:I18)</f>
        <v>178684.42247</v>
      </c>
      <c r="J12" s="234">
        <f>SUM(J13:J18)</f>
        <v>0</v>
      </c>
      <c r="K12" s="234">
        <f>SUM(K13:K18)</f>
        <v>178684.42247</v>
      </c>
    </row>
    <row r="13" spans="1:11" s="240" customFormat="1" ht="12.75" customHeight="1">
      <c r="A13" s="441"/>
      <c r="B13" s="235"/>
      <c r="C13" s="236"/>
      <c r="D13" s="237">
        <v>2212</v>
      </c>
      <c r="E13" s="55">
        <v>5336</v>
      </c>
      <c r="F13" s="238">
        <v>110117051</v>
      </c>
      <c r="G13" s="239" t="s">
        <v>79</v>
      </c>
      <c r="H13" s="56">
        <v>0</v>
      </c>
      <c r="I13" s="268">
        <f>6.06013+15.18606</f>
        <v>21.24619</v>
      </c>
      <c r="J13" s="166"/>
      <c r="K13" s="56">
        <f aca="true" t="shared" si="0" ref="K13:K18">I13+J13</f>
        <v>21.24619</v>
      </c>
    </row>
    <row r="14" spans="1:11" ht="12.75">
      <c r="A14" s="441"/>
      <c r="B14" s="235"/>
      <c r="C14" s="236"/>
      <c r="D14" s="237">
        <v>2212</v>
      </c>
      <c r="E14" s="55">
        <v>6356</v>
      </c>
      <c r="F14" s="238">
        <v>110117988</v>
      </c>
      <c r="G14" s="241" t="s">
        <v>132</v>
      </c>
      <c r="H14" s="56">
        <v>0</v>
      </c>
      <c r="I14" s="268">
        <f>2345.45592+3361.1233</f>
        <v>5706.57922</v>
      </c>
      <c r="J14" s="284"/>
      <c r="K14" s="56">
        <f t="shared" si="0"/>
        <v>5706.57922</v>
      </c>
    </row>
    <row r="15" spans="1:11" ht="12.75">
      <c r="A15" s="441"/>
      <c r="B15" s="235"/>
      <c r="C15" s="236"/>
      <c r="D15" s="237">
        <v>2212</v>
      </c>
      <c r="E15" s="55">
        <v>5336</v>
      </c>
      <c r="F15" s="238">
        <v>110595113</v>
      </c>
      <c r="G15" s="239" t="s">
        <v>79</v>
      </c>
      <c r="H15" s="56">
        <v>0</v>
      </c>
      <c r="I15" s="268">
        <f>103.96575+258.15894</f>
        <v>362.12469</v>
      </c>
      <c r="J15" s="284"/>
      <c r="K15" s="56">
        <f t="shared" si="0"/>
        <v>362.12469</v>
      </c>
    </row>
    <row r="16" spans="1:11" ht="12.75">
      <c r="A16" s="441"/>
      <c r="B16" s="235"/>
      <c r="C16" s="236"/>
      <c r="D16" s="237">
        <v>2212</v>
      </c>
      <c r="E16" s="55">
        <v>6356</v>
      </c>
      <c r="F16" s="238">
        <v>110595823</v>
      </c>
      <c r="G16" s="241" t="s">
        <v>132</v>
      </c>
      <c r="H16" s="56">
        <v>0</v>
      </c>
      <c r="I16" s="268">
        <f>40238.84266+(57139.09911+10216.5306)</f>
        <v>107594.47237</v>
      </c>
      <c r="J16" s="284"/>
      <c r="K16" s="56">
        <f t="shared" si="0"/>
        <v>107594.47237</v>
      </c>
    </row>
    <row r="17" spans="1:11" ht="12.75">
      <c r="A17" s="441"/>
      <c r="B17" s="235"/>
      <c r="C17" s="236"/>
      <c r="D17" s="237">
        <v>2212</v>
      </c>
      <c r="E17" s="55">
        <v>6351</v>
      </c>
      <c r="F17" s="238" t="s">
        <v>133</v>
      </c>
      <c r="G17" s="242" t="s">
        <v>78</v>
      </c>
      <c r="H17" s="56">
        <v>0</v>
      </c>
      <c r="I17" s="56">
        <v>0</v>
      </c>
      <c r="J17" s="56"/>
      <c r="K17" s="56">
        <f t="shared" si="0"/>
        <v>0</v>
      </c>
    </row>
    <row r="18" spans="1:11" ht="13.5" thickBot="1">
      <c r="A18" s="441"/>
      <c r="B18" s="243"/>
      <c r="C18" s="244"/>
      <c r="D18" s="245" t="s">
        <v>134</v>
      </c>
      <c r="E18" s="245" t="s">
        <v>135</v>
      </c>
      <c r="F18" s="246" t="s">
        <v>136</v>
      </c>
      <c r="G18" s="247" t="s">
        <v>137</v>
      </c>
      <c r="H18" s="53">
        <v>0</v>
      </c>
      <c r="I18" s="53">
        <v>65000</v>
      </c>
      <c r="J18" s="53"/>
      <c r="K18" s="56">
        <f t="shared" si="0"/>
        <v>65000</v>
      </c>
    </row>
    <row r="19" spans="1:11" ht="21.75" customHeight="1">
      <c r="A19" s="441"/>
      <c r="B19" s="248" t="s">
        <v>5</v>
      </c>
      <c r="C19" s="211" t="s">
        <v>138</v>
      </c>
      <c r="D19" s="230" t="s">
        <v>3</v>
      </c>
      <c r="E19" s="249" t="s">
        <v>3</v>
      </c>
      <c r="F19" s="250"/>
      <c r="G19" s="251" t="s">
        <v>233</v>
      </c>
      <c r="H19" s="252">
        <f>SUM(H20:H21)</f>
        <v>477.5</v>
      </c>
      <c r="I19" s="252">
        <f>SUM(I20:I21)</f>
        <v>477.5</v>
      </c>
      <c r="J19" s="252">
        <f>SUM(J20:J21)</f>
        <v>5422.5</v>
      </c>
      <c r="K19" s="253">
        <f>SUM(K20:K21)</f>
        <v>5900</v>
      </c>
    </row>
    <row r="20" spans="1:11" ht="12.75">
      <c r="A20" s="441"/>
      <c r="B20" s="285"/>
      <c r="C20" s="236"/>
      <c r="D20" s="237">
        <v>2299</v>
      </c>
      <c r="E20" s="55">
        <v>5213</v>
      </c>
      <c r="F20" s="238" t="s">
        <v>139</v>
      </c>
      <c r="G20" s="286" t="s">
        <v>140</v>
      </c>
      <c r="H20" s="287">
        <v>477.5</v>
      </c>
      <c r="I20" s="166">
        <v>477.5</v>
      </c>
      <c r="J20" s="166">
        <v>422.5</v>
      </c>
      <c r="K20" s="56">
        <f>I20+J20</f>
        <v>900</v>
      </c>
    </row>
    <row r="21" spans="1:11" ht="13.5" thickBot="1">
      <c r="A21" s="442"/>
      <c r="B21" s="254"/>
      <c r="C21" s="255"/>
      <c r="D21" s="273">
        <v>2299</v>
      </c>
      <c r="E21" s="57">
        <v>6413</v>
      </c>
      <c r="F21" s="390" t="s">
        <v>136</v>
      </c>
      <c r="G21" s="256" t="s">
        <v>158</v>
      </c>
      <c r="H21" s="257">
        <v>0</v>
      </c>
      <c r="I21" s="37">
        <v>0</v>
      </c>
      <c r="J21" s="37">
        <v>5000</v>
      </c>
      <c r="K21" s="53">
        <f>I21+J21</f>
        <v>5000</v>
      </c>
    </row>
    <row r="26" ht="12.75">
      <c r="I26" s="259"/>
    </row>
  </sheetData>
  <sheetProtection/>
  <mergeCells count="14">
    <mergeCell ref="G7:G8"/>
    <mergeCell ref="H7:H8"/>
    <mergeCell ref="I7:I8"/>
    <mergeCell ref="J7:K7"/>
    <mergeCell ref="A7:A8"/>
    <mergeCell ref="B7:B8"/>
    <mergeCell ref="A9:A21"/>
    <mergeCell ref="A1:K1"/>
    <mergeCell ref="A3:K3"/>
    <mergeCell ref="A5:K5"/>
    <mergeCell ref="C7:C8"/>
    <mergeCell ref="D7:D8"/>
    <mergeCell ref="E7:E8"/>
    <mergeCell ref="F7:F8"/>
  </mergeCells>
  <printOptions horizontalCentered="1"/>
  <pageMargins left="0.1968503937007874" right="0.1968503937007874" top="0.7874015748031497" bottom="0.3937007874015748" header="0.1968503937007874" footer="0"/>
  <pageSetup fitToHeight="1" fitToWidth="1" horizontalDpi="600" verticalDpi="600" orientation="portrait" paperSize="9" scale="93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2018-11-27T11:41:20Z</cp:lastPrinted>
  <dcterms:created xsi:type="dcterms:W3CDTF">2006-09-25T08:49:57Z</dcterms:created>
  <dcterms:modified xsi:type="dcterms:W3CDTF">2018-11-28T07:53:05Z</dcterms:modified>
  <cp:category/>
  <cp:version/>
  <cp:contentType/>
  <cp:contentStatus/>
</cp:coreProperties>
</file>