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okumenty\Právnické osoby\AUTOBUSY LK\zvyseni zakladniho kapitalu ALK\"/>
    </mc:Choice>
  </mc:AlternateContent>
  <bookViews>
    <workbookView xWindow="480" yWindow="30" windowWidth="11340" windowHeight="8580"/>
  </bookViews>
  <sheets>
    <sheet name="920 06" sheetId="14" r:id="rId1"/>
  </sheets>
  <definedNames>
    <definedName name="_xlnm._FilterDatabase" localSheetId="0" hidden="1">'920 06'!$B$128:$J$231</definedName>
    <definedName name="_xlnm.Print_Titles" localSheetId="0">'920 06'!$7:$8</definedName>
  </definedNames>
  <calcPr calcId="162913" fullCalcOnLoad="1"/>
</workbook>
</file>

<file path=xl/calcChain.xml><?xml version="1.0" encoding="utf-8"?>
<calcChain xmlns="http://schemas.openxmlformats.org/spreadsheetml/2006/main">
  <c r="H23" i="14" l="1"/>
  <c r="H22" i="14"/>
  <c r="H21" i="14"/>
  <c r="H20" i="14" s="1"/>
  <c r="H184" i="14"/>
  <c r="H148" i="14"/>
  <c r="J148" i="14" s="1"/>
  <c r="H147" i="14"/>
  <c r="H131" i="14"/>
  <c r="J131" i="14" s="1"/>
  <c r="J129" i="14" s="1"/>
  <c r="H130" i="14"/>
  <c r="H125" i="14"/>
  <c r="H124" i="14"/>
  <c r="J124" i="14" s="1"/>
  <c r="H13" i="14"/>
  <c r="H12" i="14" s="1"/>
  <c r="H207" i="14"/>
  <c r="H206" i="14"/>
  <c r="H205" i="14" s="1"/>
  <c r="H195" i="14"/>
  <c r="J195" i="14" s="1"/>
  <c r="H194" i="14"/>
  <c r="J194" i="14" s="1"/>
  <c r="J192" i="14" s="1"/>
  <c r="H141" i="14"/>
  <c r="H140" i="14"/>
  <c r="H116" i="14"/>
  <c r="J116" i="14" s="1"/>
  <c r="J115" i="14" s="1"/>
  <c r="H94" i="14"/>
  <c r="J94" i="14" s="1"/>
  <c r="J93" i="14" s="1"/>
  <c r="H90" i="14"/>
  <c r="H89" i="14"/>
  <c r="I192" i="14"/>
  <c r="H11" i="14"/>
  <c r="J231" i="14"/>
  <c r="J230" i="14"/>
  <c r="J229" i="14"/>
  <c r="I229" i="14"/>
  <c r="H229" i="14"/>
  <c r="G229" i="14"/>
  <c r="J228" i="14"/>
  <c r="J226" i="14" s="1"/>
  <c r="J227" i="14"/>
  <c r="I226" i="14"/>
  <c r="H226" i="14"/>
  <c r="G226" i="14"/>
  <c r="J225" i="14"/>
  <c r="J224" i="14"/>
  <c r="J223" i="14"/>
  <c r="I223" i="14"/>
  <c r="H223" i="14"/>
  <c r="G223" i="14"/>
  <c r="J222" i="14"/>
  <c r="J220" i="14" s="1"/>
  <c r="J221" i="14"/>
  <c r="I220" i="14"/>
  <c r="H220" i="14"/>
  <c r="G220" i="14"/>
  <c r="J219" i="14"/>
  <c r="J218" i="14"/>
  <c r="J217" i="14"/>
  <c r="I217" i="14"/>
  <c r="H217" i="14"/>
  <c r="G217" i="14"/>
  <c r="J216" i="14"/>
  <c r="J214" i="14" s="1"/>
  <c r="J215" i="14"/>
  <c r="I214" i="14"/>
  <c r="H214" i="14"/>
  <c r="G214" i="14"/>
  <c r="J213" i="14"/>
  <c r="J212" i="14"/>
  <c r="J211" i="14" s="1"/>
  <c r="I211" i="14"/>
  <c r="H211" i="14"/>
  <c r="G211" i="14"/>
  <c r="J210" i="14"/>
  <c r="J208" i="14" s="1"/>
  <c r="J209" i="14"/>
  <c r="I208" i="14"/>
  <c r="H208" i="14"/>
  <c r="G208" i="14"/>
  <c r="J207" i="14"/>
  <c r="J206" i="14"/>
  <c r="J205" i="14" s="1"/>
  <c r="I205" i="14"/>
  <c r="G205" i="14"/>
  <c r="J204" i="14"/>
  <c r="J203" i="14"/>
  <c r="J202" i="14" s="1"/>
  <c r="I202" i="14"/>
  <c r="H202" i="14"/>
  <c r="G202" i="14"/>
  <c r="J201" i="14"/>
  <c r="H200" i="14"/>
  <c r="J200" i="14"/>
  <c r="I199" i="14"/>
  <c r="G199" i="14"/>
  <c r="J198" i="14"/>
  <c r="H197" i="14"/>
  <c r="H196" i="14" s="1"/>
  <c r="J197" i="14"/>
  <c r="J196" i="14" s="1"/>
  <c r="I196" i="14"/>
  <c r="G196" i="14"/>
  <c r="H193" i="14"/>
  <c r="J193" i="14"/>
  <c r="G192" i="14"/>
  <c r="J191" i="14"/>
  <c r="H190" i="14"/>
  <c r="J190" i="14"/>
  <c r="J189" i="14"/>
  <c r="J188" i="14" s="1"/>
  <c r="I188" i="14"/>
  <c r="H188" i="14"/>
  <c r="G188" i="14"/>
  <c r="J187" i="14"/>
  <c r="H186" i="14"/>
  <c r="J186" i="14" s="1"/>
  <c r="I185" i="14"/>
  <c r="H185" i="14"/>
  <c r="G185" i="14"/>
  <c r="J184" i="14"/>
  <c r="H183" i="14"/>
  <c r="H181" i="14" s="1"/>
  <c r="J183" i="14"/>
  <c r="J181" i="14" s="1"/>
  <c r="H182" i="14"/>
  <c r="J182" i="14"/>
  <c r="I181" i="14"/>
  <c r="G181" i="14"/>
  <c r="J180" i="14"/>
  <c r="H179" i="14"/>
  <c r="J179" i="14" s="1"/>
  <c r="J178" i="14"/>
  <c r="I177" i="14"/>
  <c r="G177" i="14"/>
  <c r="H176" i="14"/>
  <c r="J176" i="14"/>
  <c r="J175" i="14"/>
  <c r="I174" i="14"/>
  <c r="H174" i="14"/>
  <c r="G174" i="14"/>
  <c r="J173" i="14"/>
  <c r="H172" i="14"/>
  <c r="J172" i="14"/>
  <c r="H171" i="14"/>
  <c r="J171" i="14" s="1"/>
  <c r="J170" i="14" s="1"/>
  <c r="I170" i="14"/>
  <c r="G170" i="14"/>
  <c r="J169" i="14"/>
  <c r="H168" i="14"/>
  <c r="J168" i="14"/>
  <c r="H167" i="14"/>
  <c r="J167" i="14" s="1"/>
  <c r="J166" i="14" s="1"/>
  <c r="I166" i="14"/>
  <c r="G166" i="14"/>
  <c r="H165" i="14"/>
  <c r="J165" i="14" s="1"/>
  <c r="J164" i="14"/>
  <c r="I164" i="14"/>
  <c r="G164" i="14"/>
  <c r="H163" i="14"/>
  <c r="H162" i="14" s="1"/>
  <c r="I162" i="14"/>
  <c r="G162" i="14"/>
  <c r="H161" i="14"/>
  <c r="J161" i="14" s="1"/>
  <c r="J159" i="14" s="1"/>
  <c r="J160" i="14"/>
  <c r="I159" i="14"/>
  <c r="H159" i="14"/>
  <c r="G159" i="14"/>
  <c r="J158" i="14"/>
  <c r="H157" i="14"/>
  <c r="J157" i="14"/>
  <c r="J156" i="14"/>
  <c r="I155" i="14"/>
  <c r="H155" i="14"/>
  <c r="G155" i="14"/>
  <c r="H154" i="14"/>
  <c r="J154" i="14"/>
  <c r="H153" i="14"/>
  <c r="J153" i="14"/>
  <c r="H152" i="14"/>
  <c r="J152" i="14"/>
  <c r="J151" i="14" s="1"/>
  <c r="I151" i="14"/>
  <c r="G151" i="14"/>
  <c r="H150" i="14"/>
  <c r="I149" i="14"/>
  <c r="G149" i="14"/>
  <c r="J146" i="14"/>
  <c r="I145" i="14"/>
  <c r="G145" i="14"/>
  <c r="J144" i="14"/>
  <c r="J142" i="14" s="1"/>
  <c r="H143" i="14"/>
  <c r="J143" i="14" s="1"/>
  <c r="I142" i="14"/>
  <c r="G142" i="14"/>
  <c r="J141" i="14"/>
  <c r="J140" i="14"/>
  <c r="J138" i="14" s="1"/>
  <c r="H139" i="14"/>
  <c r="J139" i="14"/>
  <c r="I138" i="14"/>
  <c r="G138" i="14"/>
  <c r="J137" i="14"/>
  <c r="H136" i="14"/>
  <c r="I135" i="14"/>
  <c r="G135" i="14"/>
  <c r="J134" i="14"/>
  <c r="J133" i="14" s="1"/>
  <c r="H134" i="14"/>
  <c r="I133" i="14"/>
  <c r="I128" i="14" s="1"/>
  <c r="H133" i="14"/>
  <c r="G133" i="14"/>
  <c r="H132" i="14"/>
  <c r="J132" i="14" s="1"/>
  <c r="J130" i="14"/>
  <c r="I129" i="14"/>
  <c r="G129" i="14"/>
  <c r="H127" i="14"/>
  <c r="H126" i="14" s="1"/>
  <c r="I126" i="14"/>
  <c r="G126" i="14"/>
  <c r="J125" i="14"/>
  <c r="H123" i="14"/>
  <c r="I122" i="14"/>
  <c r="G122" i="14"/>
  <c r="J121" i="14"/>
  <c r="J119" i="14" s="1"/>
  <c r="H121" i="14"/>
  <c r="H120" i="14"/>
  <c r="J120" i="14" s="1"/>
  <c r="I119" i="14"/>
  <c r="G119" i="14"/>
  <c r="H118" i="14"/>
  <c r="H117" i="14" s="1"/>
  <c r="I117" i="14"/>
  <c r="G117" i="14"/>
  <c r="I115" i="14"/>
  <c r="H115" i="14"/>
  <c r="G115" i="14"/>
  <c r="H114" i="14"/>
  <c r="J114" i="14" s="1"/>
  <c r="J113" i="14"/>
  <c r="J112" i="14" s="1"/>
  <c r="H113" i="14"/>
  <c r="I112" i="14"/>
  <c r="H112" i="14"/>
  <c r="G112" i="14"/>
  <c r="H111" i="14"/>
  <c r="J111" i="14" s="1"/>
  <c r="J110" i="14"/>
  <c r="H110" i="14"/>
  <c r="I109" i="14"/>
  <c r="H109" i="14"/>
  <c r="G109" i="14"/>
  <c r="H108" i="14"/>
  <c r="I107" i="14"/>
  <c r="G107" i="14"/>
  <c r="J106" i="14"/>
  <c r="J105" i="14" s="1"/>
  <c r="H106" i="14"/>
  <c r="I105" i="14"/>
  <c r="H105" i="14"/>
  <c r="G105" i="14"/>
  <c r="H104" i="14"/>
  <c r="I103" i="14"/>
  <c r="G103" i="14"/>
  <c r="J102" i="14"/>
  <c r="J101" i="14" s="1"/>
  <c r="H102" i="14"/>
  <c r="I101" i="14"/>
  <c r="H101" i="14"/>
  <c r="G101" i="14"/>
  <c r="H100" i="14"/>
  <c r="J100" i="14" s="1"/>
  <c r="J99" i="14" s="1"/>
  <c r="I99" i="14"/>
  <c r="G99" i="14"/>
  <c r="J98" i="14"/>
  <c r="H98" i="14"/>
  <c r="J97" i="14"/>
  <c r="I97" i="14"/>
  <c r="H97" i="14"/>
  <c r="G97" i="14"/>
  <c r="H96" i="14"/>
  <c r="J96" i="14" s="1"/>
  <c r="J95" i="14" s="1"/>
  <c r="I95" i="14"/>
  <c r="G95" i="14"/>
  <c r="I93" i="14"/>
  <c r="G93" i="14"/>
  <c r="H92" i="14"/>
  <c r="I91" i="14"/>
  <c r="G91" i="14"/>
  <c r="J90" i="14"/>
  <c r="J89" i="14"/>
  <c r="I88" i="14"/>
  <c r="G88" i="14"/>
  <c r="H87" i="14"/>
  <c r="J87" i="14"/>
  <c r="J86" i="14" s="1"/>
  <c r="I86" i="14"/>
  <c r="G86" i="14"/>
  <c r="H85" i="14"/>
  <c r="J85" i="14" s="1"/>
  <c r="J84" i="14"/>
  <c r="I84" i="14"/>
  <c r="G84" i="14"/>
  <c r="H83" i="14"/>
  <c r="J83" i="14"/>
  <c r="J82" i="14"/>
  <c r="I82" i="14"/>
  <c r="G82" i="14"/>
  <c r="H81" i="14"/>
  <c r="H80" i="14" s="1"/>
  <c r="J81" i="14"/>
  <c r="J80" i="14"/>
  <c r="I80" i="14"/>
  <c r="G80" i="14"/>
  <c r="H79" i="14"/>
  <c r="J79" i="14"/>
  <c r="J78" i="14" s="1"/>
  <c r="I78" i="14"/>
  <c r="G78" i="14"/>
  <c r="H77" i="14"/>
  <c r="J77" i="14" s="1"/>
  <c r="J76" i="14"/>
  <c r="I76" i="14"/>
  <c r="G76" i="14"/>
  <c r="H75" i="14"/>
  <c r="J75" i="14"/>
  <c r="J74" i="14" s="1"/>
  <c r="I74" i="14"/>
  <c r="G74" i="14"/>
  <c r="H73" i="14"/>
  <c r="J73" i="14" s="1"/>
  <c r="J72" i="14" s="1"/>
  <c r="I72" i="14"/>
  <c r="G72" i="14"/>
  <c r="H71" i="14"/>
  <c r="J71" i="14"/>
  <c r="J70" i="14" s="1"/>
  <c r="I70" i="14"/>
  <c r="G70" i="14"/>
  <c r="H69" i="14"/>
  <c r="J69" i="14" s="1"/>
  <c r="J68" i="14"/>
  <c r="I68" i="14"/>
  <c r="G68" i="14"/>
  <c r="J67" i="14"/>
  <c r="H66" i="14"/>
  <c r="H65" i="14" s="1"/>
  <c r="I65" i="14"/>
  <c r="G65" i="14"/>
  <c r="H64" i="14"/>
  <c r="H63" i="14" s="1"/>
  <c r="I63" i="14"/>
  <c r="G63" i="14"/>
  <c r="H62" i="14"/>
  <c r="J62" i="14" s="1"/>
  <c r="J61" i="14"/>
  <c r="I61" i="14"/>
  <c r="G61" i="14"/>
  <c r="G60" i="14"/>
  <c r="H59" i="14"/>
  <c r="J59" i="14"/>
  <c r="J58" i="14"/>
  <c r="I58" i="14"/>
  <c r="G58" i="14"/>
  <c r="H57" i="14"/>
  <c r="J57" i="14"/>
  <c r="J56" i="14"/>
  <c r="I56" i="14"/>
  <c r="G56" i="14"/>
  <c r="H55" i="14"/>
  <c r="H54" i="14" s="1"/>
  <c r="J55" i="14"/>
  <c r="J54" i="14" s="1"/>
  <c r="I54" i="14"/>
  <c r="G54" i="14"/>
  <c r="H53" i="14"/>
  <c r="J53" i="14" s="1"/>
  <c r="J52" i="14"/>
  <c r="I52" i="14"/>
  <c r="G52" i="14"/>
  <c r="H51" i="14"/>
  <c r="J51" i="14"/>
  <c r="J50" i="14" s="1"/>
  <c r="I50" i="14"/>
  <c r="G50" i="14"/>
  <c r="H49" i="14"/>
  <c r="J49" i="14" s="1"/>
  <c r="J48" i="14" s="1"/>
  <c r="I48" i="14"/>
  <c r="G48" i="14"/>
  <c r="H47" i="14"/>
  <c r="H46" i="14" s="1"/>
  <c r="J47" i="14"/>
  <c r="J46" i="14" s="1"/>
  <c r="I46" i="14"/>
  <c r="G46" i="14"/>
  <c r="H45" i="14"/>
  <c r="J45" i="14" s="1"/>
  <c r="J44" i="14"/>
  <c r="I44" i="14"/>
  <c r="G44" i="14"/>
  <c r="H43" i="14"/>
  <c r="J43" i="14"/>
  <c r="J42" i="14"/>
  <c r="I42" i="14"/>
  <c r="G42" i="14"/>
  <c r="H41" i="14"/>
  <c r="H40" i="14" s="1"/>
  <c r="J41" i="14"/>
  <c r="J40" i="14"/>
  <c r="I40" i="14"/>
  <c r="G40" i="14"/>
  <c r="H39" i="14"/>
  <c r="H38" i="14" s="1"/>
  <c r="J39" i="14"/>
  <c r="J38" i="14" s="1"/>
  <c r="I38" i="14"/>
  <c r="G38" i="14"/>
  <c r="H37" i="14"/>
  <c r="J37" i="14" s="1"/>
  <c r="J36" i="14"/>
  <c r="I36" i="14"/>
  <c r="G36" i="14"/>
  <c r="H35" i="14"/>
  <c r="J35" i="14"/>
  <c r="J34" i="14" s="1"/>
  <c r="I34" i="14"/>
  <c r="I31" i="14" s="1"/>
  <c r="G34" i="14"/>
  <c r="H33" i="14"/>
  <c r="J33" i="14" s="1"/>
  <c r="J32" i="14" s="1"/>
  <c r="I32" i="14"/>
  <c r="G32" i="14"/>
  <c r="G31" i="14" s="1"/>
  <c r="J30" i="14"/>
  <c r="J29" i="14" s="1"/>
  <c r="I29" i="14"/>
  <c r="H29" i="14"/>
  <c r="G29" i="14"/>
  <c r="J28" i="14"/>
  <c r="J27" i="14"/>
  <c r="J26" i="14"/>
  <c r="I27" i="14"/>
  <c r="H27" i="14"/>
  <c r="H26" i="14"/>
  <c r="G27" i="14"/>
  <c r="G26" i="14" s="1"/>
  <c r="I26" i="14"/>
  <c r="J25" i="14"/>
  <c r="J24" i="14"/>
  <c r="I24" i="14"/>
  <c r="H24" i="14"/>
  <c r="G24" i="14"/>
  <c r="J23" i="14"/>
  <c r="J22" i="14"/>
  <c r="I22" i="14"/>
  <c r="G22" i="14"/>
  <c r="I20" i="14"/>
  <c r="G20" i="14"/>
  <c r="J19" i="14"/>
  <c r="J18" i="14" s="1"/>
  <c r="I18" i="14"/>
  <c r="H18" i="14"/>
  <c r="G18" i="14"/>
  <c r="J17" i="14"/>
  <c r="J16" i="14"/>
  <c r="I16" i="14"/>
  <c r="H16" i="14"/>
  <c r="G16" i="14"/>
  <c r="J15" i="14"/>
  <c r="J14" i="14"/>
  <c r="I14" i="14"/>
  <c r="H14" i="14"/>
  <c r="G14" i="14"/>
  <c r="I12" i="14"/>
  <c r="G12" i="14"/>
  <c r="J11" i="14"/>
  <c r="J10" i="14"/>
  <c r="I10" i="14"/>
  <c r="H10" i="14"/>
  <c r="G10" i="14"/>
  <c r="J199" i="14"/>
  <c r="J155" i="14"/>
  <c r="H68" i="14"/>
  <c r="H70" i="14"/>
  <c r="H74" i="14"/>
  <c r="H76" i="14"/>
  <c r="H78" i="14"/>
  <c r="H82" i="14"/>
  <c r="H84" i="14"/>
  <c r="H86" i="14"/>
  <c r="H88" i="14"/>
  <c r="H34" i="14"/>
  <c r="H36" i="14"/>
  <c r="H42" i="14"/>
  <c r="H44" i="14"/>
  <c r="H48" i="14"/>
  <c r="H50" i="14"/>
  <c r="H56" i="14"/>
  <c r="H58" i="14"/>
  <c r="H138" i="14"/>
  <c r="H151" i="14"/>
  <c r="H199" i="14"/>
  <c r="J177" i="14"/>
  <c r="J88" i="14"/>
  <c r="J31" i="14" l="1"/>
  <c r="J145" i="14"/>
  <c r="H192" i="14"/>
  <c r="J21" i="14"/>
  <c r="J20" i="14" s="1"/>
  <c r="H93" i="14"/>
  <c r="H95" i="14"/>
  <c r="H99" i="14"/>
  <c r="J104" i="14"/>
  <c r="J103" i="14" s="1"/>
  <c r="H103" i="14"/>
  <c r="G128" i="14"/>
  <c r="G9" i="14" s="1"/>
  <c r="J163" i="14"/>
  <c r="J162" i="14" s="1"/>
  <c r="J147" i="14"/>
  <c r="H145" i="14"/>
  <c r="H52" i="14"/>
  <c r="H32" i="14"/>
  <c r="H31" i="14" s="1"/>
  <c r="J13" i="14"/>
  <c r="J12" i="14" s="1"/>
  <c r="H61" i="14"/>
  <c r="J64" i="14"/>
  <c r="J63" i="14" s="1"/>
  <c r="J66" i="14"/>
  <c r="J65" i="14" s="1"/>
  <c r="J60" i="14" s="1"/>
  <c r="J108" i="14"/>
  <c r="J107" i="14" s="1"/>
  <c r="H107" i="14"/>
  <c r="J118" i="14"/>
  <c r="J117" i="14" s="1"/>
  <c r="H129" i="14"/>
  <c r="H170" i="14"/>
  <c r="H72" i="14"/>
  <c r="I60" i="14"/>
  <c r="I9" i="14" s="1"/>
  <c r="J92" i="14"/>
  <c r="J91" i="14" s="1"/>
  <c r="H91" i="14"/>
  <c r="J109" i="14"/>
  <c r="H122" i="14"/>
  <c r="J123" i="14"/>
  <c r="J122" i="14" s="1"/>
  <c r="J127" i="14"/>
  <c r="J126" i="14" s="1"/>
  <c r="J136" i="14"/>
  <c r="J135" i="14" s="1"/>
  <c r="J128" i="14" s="1"/>
  <c r="H135" i="14"/>
  <c r="J150" i="14"/>
  <c r="J149" i="14" s="1"/>
  <c r="H149" i="14"/>
  <c r="H166" i="14"/>
  <c r="J174" i="14"/>
  <c r="H177" i="14"/>
  <c r="J185" i="14"/>
  <c r="H119" i="14"/>
  <c r="H142" i="14"/>
  <c r="H164" i="14"/>
  <c r="H128" i="14" l="1"/>
  <c r="H60" i="14"/>
  <c r="H9" i="14" s="1"/>
  <c r="J9" i="14"/>
</calcChain>
</file>

<file path=xl/sharedStrings.xml><?xml version="1.0" encoding="utf-8"?>
<sst xmlns="http://schemas.openxmlformats.org/spreadsheetml/2006/main" count="621" uniqueCount="207">
  <si>
    <t>x</t>
  </si>
  <si>
    <t>uk.</t>
  </si>
  <si>
    <t>SU</t>
  </si>
  <si>
    <t>č.a.</t>
  </si>
  <si>
    <t>§</t>
  </si>
  <si>
    <t>pol.</t>
  </si>
  <si>
    <t>změna</t>
  </si>
  <si>
    <t>správce rozpočtových výdajů = odbor dopravy</t>
  </si>
  <si>
    <t>tis. Kč</t>
  </si>
  <si>
    <t>Odbor dopravy</t>
  </si>
  <si>
    <t>nákup ostatních služeb</t>
  </si>
  <si>
    <t>Kapitola 920 06 - Kapitálové výdaje</t>
  </si>
  <si>
    <t>kap.</t>
  </si>
  <si>
    <t>K A P I T Á L O V É  V Ý D A J E</t>
  </si>
  <si>
    <t>kapitálové (investiční) výdaje resortu celkem</t>
  </si>
  <si>
    <t>0670000000</t>
  </si>
  <si>
    <t>výkupy pozemků</t>
  </si>
  <si>
    <t>pozemky</t>
  </si>
  <si>
    <t>budovy, haly a stavby</t>
  </si>
  <si>
    <t>stavba nebo rekonstrukce silnice</t>
  </si>
  <si>
    <t>0690810000</t>
  </si>
  <si>
    <t>Velkoplošné opravy havarijních úseků komunikací</t>
  </si>
  <si>
    <t>nespecifikované rezervy</t>
  </si>
  <si>
    <t>Financování silnic II. a III. třídy ve vlastnictví kraje - 2015</t>
  </si>
  <si>
    <t>0683340000</t>
  </si>
  <si>
    <t>III/2719 Hrádek n. N. - Oldřichov na Hranicích</t>
  </si>
  <si>
    <t>III/27110 Oldřichov na Hranicích</t>
  </si>
  <si>
    <t>0683370000</t>
  </si>
  <si>
    <t>II/288 Podbozkov - Cimbál</t>
  </si>
  <si>
    <t>0683380000</t>
  </si>
  <si>
    <t>III/29011 Ludvíkov - Nové Město p. Smrkem</t>
  </si>
  <si>
    <t>0683400000</t>
  </si>
  <si>
    <t>III/03520 Dlouhý Most - Javorník</t>
  </si>
  <si>
    <t>0683410000</t>
  </si>
  <si>
    <t>II/270 Doksy - Mimoň</t>
  </si>
  <si>
    <t>0683500000</t>
  </si>
  <si>
    <t>III/28115 hranice LB kraje - Troskovice</t>
  </si>
  <si>
    <t>opravy a udržování</t>
  </si>
  <si>
    <t>0683670000</t>
  </si>
  <si>
    <t>III/27716 Český Dub - havárie propustku</t>
  </si>
  <si>
    <t>Financování silnic II. a III. třídy ve vlastnictví kraje - 2016</t>
  </si>
  <si>
    <t>0683330000</t>
  </si>
  <si>
    <t>opravy silnic II. a III. tříd</t>
  </si>
  <si>
    <t>0683480000</t>
  </si>
  <si>
    <t>III/28115 Troskovice (Krčák, Vidlák)</t>
  </si>
  <si>
    <t>0683490000</t>
  </si>
  <si>
    <t>III/28116 Borek - Troskovice</t>
  </si>
  <si>
    <t>0683520000</t>
  </si>
  <si>
    <t>III/2923 Chuchelna</t>
  </si>
  <si>
    <t>0684020000</t>
  </si>
  <si>
    <t xml:space="preserve">III/27250 ulice Liberecká, Chrastava </t>
  </si>
  <si>
    <t>0690820000</t>
  </si>
  <si>
    <t>Monitorování dopravy a určení hmotnosti vozidel na silnici II/262</t>
  </si>
  <si>
    <t>0684200000</t>
  </si>
  <si>
    <t>III/2783 Starý Dub - Janův Důl</t>
  </si>
  <si>
    <t>0684230000</t>
  </si>
  <si>
    <t>II/290 Bílý Potok, rekonstrukce silnice</t>
  </si>
  <si>
    <t>0684300000</t>
  </si>
  <si>
    <t>III/27019 Jablonné v Podještědí (od II/270 po III/27014)</t>
  </si>
  <si>
    <t>0684360000</t>
  </si>
  <si>
    <t>III/27927 Pelešany - opěrná zeď</t>
  </si>
  <si>
    <t>0684380000</t>
  </si>
  <si>
    <t>II/286 x II/284 Lomnice nad Popelkou - havárie zdi</t>
  </si>
  <si>
    <t>0684390000</t>
  </si>
  <si>
    <t>II/262 Horní Police - havárie opěrné zdi</t>
  </si>
  <si>
    <t>0684430000</t>
  </si>
  <si>
    <t>Most 260-003, most přes Obrtku v Tuhani</t>
  </si>
  <si>
    <t>0684450000</t>
  </si>
  <si>
    <t>silnice k nádraží v Nové Vsi nad Popelkou III/2848A</t>
  </si>
  <si>
    <t>Financování silnic II. a III. třídy ve vlastnictví kraje - 2017</t>
  </si>
  <si>
    <t>(ÚZ 91252)</t>
  </si>
  <si>
    <t>(ÚZ 91628)</t>
  </si>
  <si>
    <t>rezervy kapitálových výdajů</t>
  </si>
  <si>
    <t>budovy, haly, stavby</t>
  </si>
  <si>
    <t>0684460000</t>
  </si>
  <si>
    <t>III/29047 Desná (protržená přehrada), rekonstrukce silnice</t>
  </si>
  <si>
    <t>0684480000</t>
  </si>
  <si>
    <t>Most č. 282-005 - pod Týnem v Rovensku p. Troskami</t>
  </si>
  <si>
    <t>0684510000</t>
  </si>
  <si>
    <t>Most ev.č. 260-006 přes Obrtku v Tuhani</t>
  </si>
  <si>
    <t>0684520000</t>
  </si>
  <si>
    <t>0684530000</t>
  </si>
  <si>
    <t>III/27250 Liberec, ul. Hrádecká, rekonstrukce silnice</t>
  </si>
  <si>
    <t>0684540000</t>
  </si>
  <si>
    <t>II/284 Nová Ves nad Popelkou, rekonstrukce opěrné zdi</t>
  </si>
  <si>
    <t>0684550000</t>
  </si>
  <si>
    <t>III/29050 Desná (Sladká Díra), havárie propustku</t>
  </si>
  <si>
    <t>0684560000</t>
  </si>
  <si>
    <t>III/29022 Hrabětice - Josefův Důl</t>
  </si>
  <si>
    <t>0684570000</t>
  </si>
  <si>
    <t>Most ev.č. 2893-1 Semily</t>
  </si>
  <si>
    <t>0684580000</t>
  </si>
  <si>
    <t>II/278 Osečná (Kotel), oprava propustku</t>
  </si>
  <si>
    <t>0684590000</t>
  </si>
  <si>
    <t>II/278 Kotel, havárie propustku</t>
  </si>
  <si>
    <t>0684600000</t>
  </si>
  <si>
    <t>III/27243 Zdislava, rekonstrukce opěrné zdi</t>
  </si>
  <si>
    <t>0684610000</t>
  </si>
  <si>
    <t>III/27926 Kacanovy, rekonstrukce propustku</t>
  </si>
  <si>
    <t>0684620000</t>
  </si>
  <si>
    <t>II/277 Český Dub, rekonstrukce propustku</t>
  </si>
  <si>
    <t>0684630000</t>
  </si>
  <si>
    <t>Most ev.č. 2903-1 Raspenava, rekonstrukce mostu</t>
  </si>
  <si>
    <t>0684670000</t>
  </si>
  <si>
    <t>III/2711 Chotyně, havárie opěrné zdi</t>
  </si>
  <si>
    <t>0684680000</t>
  </si>
  <si>
    <t>III/2791 Jivina, oprava propustku</t>
  </si>
  <si>
    <t>0684710000</t>
  </si>
  <si>
    <t>III/2627 Volfartice</t>
  </si>
  <si>
    <t>0684740000</t>
  </si>
  <si>
    <t>III/28626 Benecko II.</t>
  </si>
  <si>
    <t>0684750000</t>
  </si>
  <si>
    <t>III/01020 Harrachov - Mýtiny</t>
  </si>
  <si>
    <t>SR 2018</t>
  </si>
  <si>
    <t>UR I 2018</t>
  </si>
  <si>
    <t>UR II 2018</t>
  </si>
  <si>
    <t>0690860000</t>
  </si>
  <si>
    <t>PD cyklostezka Svaté Zdislavy a získání stavebního povolení – úsek Cvikov-Svor</t>
  </si>
  <si>
    <t>0690870000</t>
  </si>
  <si>
    <t>Majetkový vstup LK do ČSAD Liberec, a.s.</t>
  </si>
  <si>
    <t xml:space="preserve">Nákup majetkových podílů </t>
  </si>
  <si>
    <t>0690880000</t>
  </si>
  <si>
    <t>Autobusy LK, s.r.o. - vklad základního jmění</t>
  </si>
  <si>
    <t>nákup majetkových podílů</t>
  </si>
  <si>
    <t>0690890000</t>
  </si>
  <si>
    <t>Napojení Průmyslové zóny Jih v Liberci</t>
  </si>
  <si>
    <t>0684850000</t>
  </si>
  <si>
    <t>III/01023 Harrachov</t>
  </si>
  <si>
    <t>0684870000</t>
  </si>
  <si>
    <t>III/26836 Cvikov, část Lindava, propust u čp. 164</t>
  </si>
  <si>
    <t>0684880000</t>
  </si>
  <si>
    <t>II/270 Mimoň, ulice Lužická</t>
  </si>
  <si>
    <t>0684890000</t>
  </si>
  <si>
    <t>III/29018 Kořenov, rekonstrukce propustku</t>
  </si>
  <si>
    <t>0684910000</t>
  </si>
  <si>
    <t>III/2875 Proseč, rekonstrukce propustku</t>
  </si>
  <si>
    <t>0684930000</t>
  </si>
  <si>
    <t>II/279 Svijany - Svijanský Újezd</t>
  </si>
  <si>
    <t>0684940000</t>
  </si>
  <si>
    <t>III/29022 Albrechtice v Jizerských horách</t>
  </si>
  <si>
    <t>0684950000</t>
  </si>
  <si>
    <t>III/2828 Volavec</t>
  </si>
  <si>
    <t>Financování silnic II. a III. třídy ve vlastnictví kraje - 2018</t>
  </si>
  <si>
    <t>0684960000</t>
  </si>
  <si>
    <t>III/2622 Dobranov, havárie propustku</t>
  </si>
  <si>
    <t>0684970000</t>
  </si>
  <si>
    <t>III/29015 a III/29013 Ludvíkov - Raspenava</t>
  </si>
  <si>
    <t>0684980000</t>
  </si>
  <si>
    <t>III/28736 Bzí, rekonstrukce silnice</t>
  </si>
  <si>
    <t>0684990000</t>
  </si>
  <si>
    <t>III/28726 Odolenovice po křižovatku s III/03527</t>
  </si>
  <si>
    <t>0685000000</t>
  </si>
  <si>
    <t>III/2706 Horky u Dubé, rekonstrukce silnice</t>
  </si>
  <si>
    <t>0685010000</t>
  </si>
  <si>
    <t>III/28314 Turnov (gumoasfalt)</t>
  </si>
  <si>
    <t>0685020000</t>
  </si>
  <si>
    <t>III/32546 Horka u St.P. od křižovatky s I/16 po hranici LK</t>
  </si>
  <si>
    <t>0685030000</t>
  </si>
  <si>
    <t>II/292 Semily</t>
  </si>
  <si>
    <t>0685040000</t>
  </si>
  <si>
    <t>Most ev.č. 292-001 přes Mlýnský potok</t>
  </si>
  <si>
    <t>0685050000</t>
  </si>
  <si>
    <t>Most ev.č. 26833-1 Srní u České Lípy</t>
  </si>
  <si>
    <t>0685060000</t>
  </si>
  <si>
    <t>III/2915 Horní Řasnice - Jindřichovice p.S.</t>
  </si>
  <si>
    <t>0685070000</t>
  </si>
  <si>
    <t>III/28215 Líšný - Vrát - Koberovy</t>
  </si>
  <si>
    <t>0685080000</t>
  </si>
  <si>
    <t>0685090000</t>
  </si>
  <si>
    <t>III/2837 Slaná - Světlá</t>
  </si>
  <si>
    <t>0685100000</t>
  </si>
  <si>
    <t>III/28211 Klokočí - Rohliny</t>
  </si>
  <si>
    <t>0685110000</t>
  </si>
  <si>
    <t>II/278 Osečná - Kotel</t>
  </si>
  <si>
    <t>0685120000</t>
  </si>
  <si>
    <t>III/28620 Poniklá - Vítkovice (přes Kobylu)</t>
  </si>
  <si>
    <t>0685130000</t>
  </si>
  <si>
    <t>III/28213 Koberovy - Malá Skála</t>
  </si>
  <si>
    <t>0685140000</t>
  </si>
  <si>
    <t>Most ev.č. 29063-1 přes Sklenařický potok v Jablonci n. J.</t>
  </si>
  <si>
    <t>0685150000</t>
  </si>
  <si>
    <t>III/2784 Liberec, ul. České mládeže</t>
  </si>
  <si>
    <t>0685160000</t>
  </si>
  <si>
    <t>II/260 Skalka</t>
  </si>
  <si>
    <t>0685170000</t>
  </si>
  <si>
    <t>III/29042 Tanvald - Albrechtice v JH, havárie zdi</t>
  </si>
  <si>
    <t>0690850000</t>
  </si>
  <si>
    <t>PD Odra - Nisa v lokalitě Chotyně - U Hrabarů</t>
  </si>
  <si>
    <t>0685180000</t>
  </si>
  <si>
    <t>III/28725 Frýdštejn - Voděrady - Ondříkovice</t>
  </si>
  <si>
    <t>0685190000</t>
  </si>
  <si>
    <t>II/278 Starý Dub - Český Dub</t>
  </si>
  <si>
    <t>Protismyk - oblast východ</t>
  </si>
  <si>
    <t>0685200000</t>
  </si>
  <si>
    <t>Protismyk - oblast Liberecko</t>
  </si>
  <si>
    <t>0685210000</t>
  </si>
  <si>
    <t>III/2702 od I/9 do obce Chlum</t>
  </si>
  <si>
    <t>0685220000</t>
  </si>
  <si>
    <t>II/269 Tuhaň - hranice kraje</t>
  </si>
  <si>
    <t>0685230000</t>
  </si>
  <si>
    <t>II/263 Žandov - hranice kraje</t>
  </si>
  <si>
    <t>0685240000</t>
  </si>
  <si>
    <t>Protismyk - oblast Českolipsko</t>
  </si>
  <si>
    <t>0685250000</t>
  </si>
  <si>
    <t>III/32546 Horka u Staré Paky, etapa II.</t>
  </si>
  <si>
    <t>Změna rozpočtu - rozpočtové opatření č. 406/18</t>
  </si>
  <si>
    <t>34.změna-RO č. 406/18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</si>
</sst>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#,##0.000"/>
  </numFmts>
  <fonts count="30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sz val="8"/>
      <color indexed="10"/>
      <name val="Arial"/>
      <family val="2"/>
      <charset val="238"/>
    </font>
    <font>
      <sz val="8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9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1" applyNumberFormat="0" applyFill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4" fontId="20" fillId="0" borderId="10" xfId="30" applyNumberFormat="1" applyFont="1" applyFill="1" applyBorder="1" applyAlignment="1">
      <alignment vertical="center"/>
    </xf>
    <xf numFmtId="4" fontId="1" fillId="0" borderId="11" xfId="29" applyNumberFormat="1" applyFont="1" applyFill="1" applyBorder="1" applyAlignment="1">
      <alignment vertical="center"/>
    </xf>
    <xf numFmtId="0" fontId="20" fillId="0" borderId="12" xfId="30" applyFont="1" applyFill="1" applyBorder="1" applyAlignment="1">
      <alignment vertical="center" wrapText="1"/>
    </xf>
    <xf numFmtId="0" fontId="20" fillId="0" borderId="13" xfId="30" applyFont="1" applyFill="1" applyBorder="1" applyAlignment="1">
      <alignment vertical="center"/>
    </xf>
    <xf numFmtId="49" fontId="20" fillId="0" borderId="12" xfId="30" applyNumberFormat="1" applyFont="1" applyFill="1" applyBorder="1" applyAlignment="1">
      <alignment horizontal="center" vertical="center"/>
    </xf>
    <xf numFmtId="4" fontId="1" fillId="0" borderId="14" xfId="30" applyNumberFormat="1" applyFont="1" applyFill="1" applyBorder="1" applyAlignment="1">
      <alignment vertical="center"/>
    </xf>
    <xf numFmtId="4" fontId="1" fillId="0" borderId="14" xfId="29" applyNumberFormat="1" applyFont="1" applyFill="1" applyBorder="1" applyAlignment="1">
      <alignment vertical="center"/>
    </xf>
    <xf numFmtId="4" fontId="1" fillId="0" borderId="15" xfId="30" applyNumberFormat="1" applyFont="1" applyFill="1" applyBorder="1" applyAlignment="1">
      <alignment vertical="center"/>
    </xf>
    <xf numFmtId="4" fontId="1" fillId="0" borderId="15" xfId="29" applyNumberFormat="1" applyFont="1" applyFill="1" applyBorder="1" applyAlignment="1">
      <alignment vertical="center"/>
    </xf>
    <xf numFmtId="1" fontId="1" fillId="0" borderId="16" xfId="29" applyNumberFormat="1" applyFont="1" applyFill="1" applyBorder="1" applyAlignment="1">
      <alignment horizontal="center" vertical="center"/>
    </xf>
    <xf numFmtId="49" fontId="2" fillId="0" borderId="17" xfId="30" applyNumberFormat="1" applyFont="1" applyFill="1" applyBorder="1" applyAlignment="1">
      <alignment horizontal="center" vertical="center" wrapText="1"/>
    </xf>
    <xf numFmtId="1" fontId="20" fillId="0" borderId="17" xfId="30" applyNumberFormat="1" applyFont="1" applyBorder="1" applyAlignment="1">
      <alignment horizontal="center" vertical="center" wrapText="1"/>
    </xf>
    <xf numFmtId="0" fontId="26" fillId="0" borderId="18" xfId="29" applyFont="1" applyFill="1" applyBorder="1" applyAlignment="1">
      <alignment horizontal="center" vertical="center"/>
    </xf>
    <xf numFmtId="1" fontId="1" fillId="0" borderId="19" xfId="30" applyNumberFormat="1" applyFont="1" applyFill="1" applyBorder="1" applyAlignment="1">
      <alignment horizontal="center" vertical="center"/>
    </xf>
    <xf numFmtId="171" fontId="0" fillId="0" borderId="0" xfId="0" applyNumberFormat="1" applyAlignment="1">
      <alignment vertical="center"/>
    </xf>
    <xf numFmtId="0" fontId="20" fillId="0" borderId="20" xfId="30" applyFont="1" applyFill="1" applyBorder="1" applyAlignment="1">
      <alignment horizontal="center" vertical="center"/>
    </xf>
    <xf numFmtId="0" fontId="20" fillId="0" borderId="17" xfId="30" applyFont="1" applyFill="1" applyBorder="1" applyAlignment="1">
      <alignment horizontal="center" vertical="center"/>
    </xf>
    <xf numFmtId="0" fontId="26" fillId="0" borderId="21" xfId="30" applyFont="1" applyFill="1" applyBorder="1" applyAlignment="1">
      <alignment horizontal="center" vertical="center"/>
    </xf>
    <xf numFmtId="1" fontId="1" fillId="0" borderId="22" xfId="30" applyNumberFormat="1" applyFont="1" applyFill="1" applyBorder="1" applyAlignment="1">
      <alignment horizontal="center" vertical="center"/>
    </xf>
    <xf numFmtId="4" fontId="1" fillId="0" borderId="11" xfId="30" applyNumberFormat="1" applyFont="1" applyFill="1" applyBorder="1" applyAlignment="1">
      <alignment vertical="center"/>
    </xf>
    <xf numFmtId="2" fontId="20" fillId="0" borderId="22" xfId="30" applyNumberFormat="1" applyFont="1" applyBorder="1" applyAlignment="1">
      <alignment horizontal="center" vertical="center"/>
    </xf>
    <xf numFmtId="171" fontId="20" fillId="0" borderId="10" xfId="30" applyNumberFormat="1" applyFont="1" applyFill="1" applyBorder="1" applyAlignment="1">
      <alignment vertical="center"/>
    </xf>
    <xf numFmtId="0" fontId="1" fillId="0" borderId="23" xfId="30" applyFont="1" applyFill="1" applyBorder="1" applyAlignment="1">
      <alignment horizontal="center" vertical="center"/>
    </xf>
    <xf numFmtId="49" fontId="1" fillId="0" borderId="24" xfId="30" applyNumberFormat="1" applyFont="1" applyFill="1" applyBorder="1" applyAlignment="1">
      <alignment horizontal="center" vertical="center"/>
    </xf>
    <xf numFmtId="2" fontId="1" fillId="0" borderId="11" xfId="27" applyNumberFormat="1" applyFont="1" applyFill="1" applyBorder="1" applyAlignment="1">
      <alignment horizontal="right" vertical="center"/>
    </xf>
    <xf numFmtId="4" fontId="1" fillId="0" borderId="25" xfId="30" applyNumberFormat="1" applyFont="1" applyFill="1" applyBorder="1" applyAlignment="1">
      <alignment vertical="center"/>
    </xf>
    <xf numFmtId="0" fontId="27" fillId="0" borderId="26" xfId="28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4" fontId="20" fillId="0" borderId="27" xfId="30" applyNumberFormat="1" applyFont="1" applyFill="1" applyBorder="1" applyAlignment="1">
      <alignment vertical="center"/>
    </xf>
    <xf numFmtId="0" fontId="1" fillId="25" borderId="16" xfId="32" applyFont="1" applyFill="1" applyBorder="1" applyAlignment="1">
      <alignment horizontal="center" vertical="center"/>
    </xf>
    <xf numFmtId="1" fontId="1" fillId="0" borderId="28" xfId="30" applyNumberFormat="1" applyFont="1" applyFill="1" applyBorder="1" applyAlignment="1">
      <alignment horizontal="center" vertical="center"/>
    </xf>
    <xf numFmtId="2" fontId="1" fillId="0" borderId="26" xfId="30" applyNumberFormat="1" applyFont="1" applyFill="1" applyBorder="1" applyAlignment="1">
      <alignment horizontal="left" vertical="center"/>
    </xf>
    <xf numFmtId="171" fontId="1" fillId="0" borderId="14" xfId="30" applyNumberFormat="1" applyFont="1" applyFill="1" applyBorder="1" applyAlignment="1">
      <alignment vertical="center"/>
    </xf>
    <xf numFmtId="1" fontId="1" fillId="0" borderId="24" xfId="30" applyNumberFormat="1" applyFont="1" applyFill="1" applyBorder="1" applyAlignment="1">
      <alignment horizontal="center" vertical="center"/>
    </xf>
    <xf numFmtId="2" fontId="1" fillId="0" borderId="29" xfId="30" applyNumberFormat="1" applyFont="1" applyFill="1" applyBorder="1" applyAlignment="1">
      <alignment horizontal="left" vertical="center"/>
    </xf>
    <xf numFmtId="4" fontId="1" fillId="0" borderId="30" xfId="30" applyNumberFormat="1" applyFont="1" applyFill="1" applyBorder="1" applyAlignment="1">
      <alignment vertical="center"/>
    </xf>
    <xf numFmtId="0" fontId="1" fillId="0" borderId="31" xfId="30" applyFont="1" applyFill="1" applyBorder="1" applyAlignment="1">
      <alignment horizontal="center" vertical="center"/>
    </xf>
    <xf numFmtId="2" fontId="1" fillId="26" borderId="22" xfId="30" applyNumberFormat="1" applyFont="1" applyFill="1" applyBorder="1" applyAlignment="1">
      <alignment horizontal="center" vertical="center"/>
    </xf>
    <xf numFmtId="2" fontId="1" fillId="27" borderId="19" xfId="30" applyNumberFormat="1" applyFont="1" applyFill="1" applyBorder="1" applyAlignment="1">
      <alignment horizontal="center" vertical="center"/>
    </xf>
    <xf numFmtId="2" fontId="1" fillId="0" borderId="14" xfId="27" applyNumberFormat="1" applyFont="1" applyFill="1" applyBorder="1" applyAlignment="1">
      <alignment horizontal="right" vertical="center"/>
    </xf>
    <xf numFmtId="1" fontId="1" fillId="0" borderId="19" xfId="29" applyNumberFormat="1" applyFont="1" applyFill="1" applyBorder="1" applyAlignment="1">
      <alignment horizontal="center" vertical="center"/>
    </xf>
    <xf numFmtId="171" fontId="1" fillId="0" borderId="15" xfId="30" applyNumberFormat="1" applyFont="1" applyFill="1" applyBorder="1" applyAlignment="1">
      <alignment vertical="center"/>
    </xf>
    <xf numFmtId="2" fontId="1" fillId="27" borderId="19" xfId="29" applyNumberFormat="1" applyFont="1" applyFill="1" applyBorder="1" applyAlignment="1">
      <alignment horizontal="center" vertical="center"/>
    </xf>
    <xf numFmtId="2" fontId="1" fillId="26" borderId="32" xfId="29" applyNumberFormat="1" applyFont="1" applyFill="1" applyBorder="1" applyAlignment="1">
      <alignment horizontal="center" vertical="center"/>
    </xf>
    <xf numFmtId="1" fontId="1" fillId="0" borderId="28" xfId="29" applyNumberFormat="1" applyFont="1" applyFill="1" applyBorder="1" applyAlignment="1">
      <alignment horizontal="center" vertical="center"/>
    </xf>
    <xf numFmtId="2" fontId="1" fillId="0" borderId="26" xfId="29" applyNumberFormat="1" applyFont="1" applyFill="1" applyBorder="1" applyAlignment="1">
      <alignment horizontal="left" vertical="center"/>
    </xf>
    <xf numFmtId="171" fontId="1" fillId="0" borderId="30" xfId="30" applyNumberFormat="1" applyFont="1" applyFill="1" applyBorder="1" applyAlignment="1">
      <alignment vertical="center"/>
    </xf>
    <xf numFmtId="0" fontId="26" fillId="0" borderId="33" xfId="29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34" xfId="29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31" applyFont="1" applyBorder="1" applyAlignment="1">
      <alignment horizontal="center" vertical="center"/>
    </xf>
    <xf numFmtId="1" fontId="20" fillId="0" borderId="37" xfId="29" applyNumberFormat="1" applyFont="1" applyFill="1" applyBorder="1" applyAlignment="1">
      <alignment horizontal="center" vertical="center"/>
    </xf>
    <xf numFmtId="2" fontId="20" fillId="0" borderId="37" xfId="29" applyNumberFormat="1" applyFont="1" applyBorder="1" applyAlignment="1">
      <alignment horizontal="center" vertical="center"/>
    </xf>
    <xf numFmtId="2" fontId="20" fillId="0" borderId="38" xfId="29" applyNumberFormat="1" applyFont="1" applyBorder="1" applyAlignment="1">
      <alignment horizontal="center" vertical="center"/>
    </xf>
    <xf numFmtId="2" fontId="20" fillId="0" borderId="39" xfId="29" applyNumberFormat="1" applyFont="1" applyBorder="1" applyAlignment="1">
      <alignment horizontal="center" vertical="center"/>
    </xf>
    <xf numFmtId="4" fontId="20" fillId="0" borderId="40" xfId="29" applyNumberFormat="1" applyFont="1" applyFill="1" applyBorder="1" applyAlignment="1">
      <alignment vertical="center"/>
    </xf>
    <xf numFmtId="4" fontId="20" fillId="0" borderId="41" xfId="29" applyNumberFormat="1" applyFont="1" applyFill="1" applyBorder="1" applyAlignment="1">
      <alignment vertical="center"/>
    </xf>
    <xf numFmtId="4" fontId="20" fillId="0" borderId="42" xfId="29" applyNumberFormat="1" applyFont="1" applyFill="1" applyBorder="1" applyAlignment="1">
      <alignment vertical="center"/>
    </xf>
    <xf numFmtId="2" fontId="20" fillId="0" borderId="43" xfId="29" applyNumberFormat="1" applyFont="1" applyBorder="1" applyAlignment="1">
      <alignment horizontal="center" vertical="center"/>
    </xf>
    <xf numFmtId="49" fontId="20" fillId="0" borderId="44" xfId="29" applyNumberFormat="1" applyFont="1" applyBorder="1" applyAlignment="1">
      <alignment horizontal="center" vertical="center"/>
    </xf>
    <xf numFmtId="2" fontId="20" fillId="0" borderId="44" xfId="29" applyNumberFormat="1" applyFont="1" applyBorder="1" applyAlignment="1">
      <alignment horizontal="center" vertical="center"/>
    </xf>
    <xf numFmtId="2" fontId="20" fillId="0" borderId="45" xfId="29" applyNumberFormat="1" applyFont="1" applyBorder="1" applyAlignment="1">
      <alignment vertical="center"/>
    </xf>
    <xf numFmtId="4" fontId="20" fillId="0" borderId="46" xfId="29" applyNumberFormat="1" applyFont="1" applyFill="1" applyBorder="1" applyAlignment="1">
      <alignment vertical="center"/>
    </xf>
    <xf numFmtId="4" fontId="20" fillId="0" borderId="47" xfId="29" applyNumberFormat="1" applyFont="1" applyFill="1" applyBorder="1" applyAlignment="1">
      <alignment vertical="center"/>
    </xf>
    <xf numFmtId="4" fontId="20" fillId="0" borderId="48" xfId="29" applyNumberFormat="1" applyFont="1" applyFill="1" applyBorder="1" applyAlignment="1">
      <alignment vertical="center"/>
    </xf>
    <xf numFmtId="2" fontId="1" fillId="0" borderId="49" xfId="29" applyNumberFormat="1" applyFont="1" applyBorder="1" applyAlignment="1">
      <alignment horizontal="center" vertical="center"/>
    </xf>
    <xf numFmtId="2" fontId="1" fillId="0" borderId="50" xfId="29" applyNumberFormat="1" applyFont="1" applyBorder="1" applyAlignment="1">
      <alignment horizontal="center" vertical="center"/>
    </xf>
    <xf numFmtId="1" fontId="1" fillId="0" borderId="50" xfId="29" applyNumberFormat="1" applyFont="1" applyBorder="1" applyAlignment="1">
      <alignment horizontal="center" vertical="center"/>
    </xf>
    <xf numFmtId="2" fontId="1" fillId="0" borderId="51" xfId="29" applyNumberFormat="1" applyFont="1" applyBorder="1" applyAlignment="1">
      <alignment vertical="center"/>
    </xf>
    <xf numFmtId="4" fontId="1" fillId="0" borderId="52" xfId="29" applyNumberFormat="1" applyFont="1" applyFill="1" applyBorder="1" applyAlignment="1">
      <alignment vertical="center"/>
    </xf>
    <xf numFmtId="4" fontId="1" fillId="0" borderId="53" xfId="29" applyNumberFormat="1" applyFont="1" applyFill="1" applyBorder="1" applyAlignment="1">
      <alignment vertical="center"/>
    </xf>
    <xf numFmtId="171" fontId="1" fillId="0" borderId="52" xfId="29" applyNumberFormat="1" applyFont="1" applyFill="1" applyBorder="1" applyAlignment="1">
      <alignment vertical="center"/>
    </xf>
    <xf numFmtId="0" fontId="20" fillId="0" borderId="43" xfId="29" applyFont="1" applyFill="1" applyBorder="1" applyAlignment="1">
      <alignment horizontal="center" vertical="center"/>
    </xf>
    <xf numFmtId="49" fontId="20" fillId="0" borderId="44" xfId="29" applyNumberFormat="1" applyFont="1" applyFill="1" applyBorder="1" applyAlignment="1">
      <alignment horizontal="center" vertical="center" wrapText="1"/>
    </xf>
    <xf numFmtId="0" fontId="20" fillId="0" borderId="44" xfId="29" applyFont="1" applyFill="1" applyBorder="1" applyAlignment="1">
      <alignment horizontal="center" vertical="center"/>
    </xf>
    <xf numFmtId="0" fontId="20" fillId="0" borderId="45" xfId="30" applyFont="1" applyFill="1" applyBorder="1" applyAlignment="1">
      <alignment vertical="center" wrapText="1"/>
    </xf>
    <xf numFmtId="4" fontId="20" fillId="0" borderId="54" xfId="29" applyNumberFormat="1" applyFont="1" applyFill="1" applyBorder="1" applyAlignment="1">
      <alignment vertical="center"/>
    </xf>
    <xf numFmtId="171" fontId="20" fillId="0" borderId="46" xfId="30" applyNumberFormat="1" applyFont="1" applyFill="1" applyBorder="1" applyAlignment="1">
      <alignment vertical="center"/>
    </xf>
    <xf numFmtId="4" fontId="20" fillId="0" borderId="46" xfId="30" applyNumberFormat="1" applyFont="1" applyFill="1" applyBorder="1" applyAlignment="1">
      <alignment vertical="center"/>
    </xf>
    <xf numFmtId="0" fontId="1" fillId="0" borderId="55" xfId="29" applyFont="1" applyFill="1" applyBorder="1" applyAlignment="1">
      <alignment horizontal="center" vertical="center"/>
    </xf>
    <xf numFmtId="2" fontId="20" fillId="0" borderId="56" xfId="29" applyNumberFormat="1" applyFont="1" applyBorder="1" applyAlignment="1">
      <alignment horizontal="center" vertical="center"/>
    </xf>
    <xf numFmtId="1" fontId="1" fillId="0" borderId="56" xfId="29" applyNumberFormat="1" applyFont="1" applyFill="1" applyBorder="1" applyAlignment="1">
      <alignment horizontal="center" vertical="center"/>
    </xf>
    <xf numFmtId="0" fontId="29" fillId="0" borderId="51" xfId="28" applyFont="1" applyFill="1" applyBorder="1" applyAlignment="1">
      <alignment vertical="center"/>
    </xf>
    <xf numFmtId="4" fontId="1" fillId="0" borderId="52" xfId="30" applyNumberFormat="1" applyFont="1" applyFill="1" applyBorder="1" applyAlignment="1">
      <alignment vertical="center"/>
    </xf>
    <xf numFmtId="4" fontId="1" fillId="0" borderId="57" xfId="29" applyNumberFormat="1" applyFont="1" applyFill="1" applyBorder="1" applyAlignment="1">
      <alignment vertical="center"/>
    </xf>
    <xf numFmtId="0" fontId="20" fillId="0" borderId="43" xfId="30" applyFont="1" applyFill="1" applyBorder="1" applyAlignment="1">
      <alignment horizontal="center" vertical="center"/>
    </xf>
    <xf numFmtId="49" fontId="20" fillId="0" borderId="44" xfId="30" applyNumberFormat="1" applyFont="1" applyFill="1" applyBorder="1" applyAlignment="1">
      <alignment horizontal="center" vertical="center" wrapText="1"/>
    </xf>
    <xf numFmtId="0" fontId="20" fillId="0" borderId="44" xfId="30" applyFont="1" applyFill="1" applyBorder="1" applyAlignment="1">
      <alignment horizontal="center" vertical="center"/>
    </xf>
    <xf numFmtId="2" fontId="20" fillId="0" borderId="45" xfId="30" applyNumberFormat="1" applyFont="1" applyFill="1" applyBorder="1" applyAlignment="1">
      <alignment vertical="center" wrapText="1"/>
    </xf>
    <xf numFmtId="4" fontId="20" fillId="0" borderId="54" xfId="30" applyNumberFormat="1" applyFont="1" applyFill="1" applyBorder="1" applyAlignment="1">
      <alignment vertical="center"/>
    </xf>
    <xf numFmtId="0" fontId="1" fillId="0" borderId="55" xfId="30" applyFont="1" applyFill="1" applyBorder="1" applyAlignment="1">
      <alignment horizontal="center" vertical="center"/>
    </xf>
    <xf numFmtId="2" fontId="20" fillId="0" borderId="56" xfId="30" applyNumberFormat="1" applyFont="1" applyBorder="1" applyAlignment="1">
      <alignment horizontal="center" vertical="center"/>
    </xf>
    <xf numFmtId="1" fontId="1" fillId="0" borderId="56" xfId="30" applyNumberFormat="1" applyFont="1" applyFill="1" applyBorder="1" applyAlignment="1">
      <alignment horizontal="center" vertical="center"/>
    </xf>
    <xf numFmtId="0" fontId="29" fillId="0" borderId="58" xfId="28" applyFont="1" applyFill="1" applyBorder="1" applyAlignment="1">
      <alignment vertical="center" wrapText="1"/>
    </xf>
    <xf numFmtId="171" fontId="1" fillId="0" borderId="52" xfId="30" applyNumberFormat="1" applyFont="1" applyFill="1" applyBorder="1" applyAlignment="1">
      <alignment vertical="center"/>
    </xf>
    <xf numFmtId="0" fontId="1" fillId="24" borderId="50" xfId="32" applyFont="1" applyFill="1" applyBorder="1" applyAlignment="1">
      <alignment horizontal="center" vertical="center"/>
    </xf>
    <xf numFmtId="1" fontId="1" fillId="0" borderId="59" xfId="30" applyNumberFormat="1" applyFont="1" applyFill="1" applyBorder="1" applyAlignment="1">
      <alignment horizontal="center" vertical="center"/>
    </xf>
    <xf numFmtId="0" fontId="29" fillId="0" borderId="60" xfId="28" applyFont="1" applyFill="1" applyBorder="1" applyAlignment="1">
      <alignment vertical="center" wrapText="1"/>
    </xf>
    <xf numFmtId="0" fontId="1" fillId="0" borderId="50" xfId="32" applyFont="1" applyFill="1" applyBorder="1" applyAlignment="1">
      <alignment horizontal="center" vertical="center"/>
    </xf>
    <xf numFmtId="1" fontId="1" fillId="0" borderId="61" xfId="30" applyNumberFormat="1" applyFont="1" applyFill="1" applyBorder="1" applyAlignment="1">
      <alignment horizontal="center" vertical="center"/>
    </xf>
    <xf numFmtId="0" fontId="1" fillId="0" borderId="51" xfId="31" applyFont="1" applyFill="1" applyBorder="1" applyAlignment="1">
      <alignment vertical="center"/>
    </xf>
    <xf numFmtId="2" fontId="20" fillId="0" borderId="13" xfId="30" applyNumberFormat="1" applyFont="1" applyBorder="1" applyAlignment="1">
      <alignment horizontal="left" vertical="center"/>
    </xf>
    <xf numFmtId="1" fontId="1" fillId="0" borderId="19" xfId="30" applyNumberFormat="1" applyFont="1" applyBorder="1" applyAlignment="1">
      <alignment horizontal="center" vertical="center"/>
    </xf>
    <xf numFmtId="2" fontId="1" fillId="0" borderId="62" xfId="30" applyNumberFormat="1" applyFont="1" applyBorder="1" applyAlignment="1">
      <alignment horizontal="left" vertical="center"/>
    </xf>
    <xf numFmtId="1" fontId="20" fillId="0" borderId="17" xfId="29" applyNumberFormat="1" applyFont="1" applyBorder="1" applyAlignment="1">
      <alignment horizontal="center" vertical="center" wrapText="1"/>
    </xf>
    <xf numFmtId="2" fontId="20" fillId="0" borderId="13" xfId="29" applyNumberFormat="1" applyFont="1" applyBorder="1" applyAlignment="1">
      <alignment horizontal="left" vertical="center"/>
    </xf>
    <xf numFmtId="1" fontId="1" fillId="0" borderId="19" xfId="29" applyNumberFormat="1" applyFont="1" applyBorder="1" applyAlignment="1">
      <alignment horizontal="center" vertical="center"/>
    </xf>
    <xf numFmtId="0" fontId="28" fillId="0" borderId="63" xfId="30" applyFont="1" applyFill="1" applyBorder="1" applyAlignment="1">
      <alignment horizontal="center" vertical="center"/>
    </xf>
    <xf numFmtId="0" fontId="28" fillId="0" borderId="64" xfId="30" applyFont="1" applyFill="1" applyBorder="1" applyAlignment="1">
      <alignment horizontal="center" vertical="center"/>
    </xf>
    <xf numFmtId="0" fontId="25" fillId="0" borderId="34" xfId="30" applyFont="1" applyFill="1" applyBorder="1" applyAlignment="1">
      <alignment horizontal="center" vertical="center"/>
    </xf>
    <xf numFmtId="0" fontId="28" fillId="0" borderId="65" xfId="30" applyFont="1" applyFill="1" applyBorder="1" applyAlignment="1">
      <alignment vertical="center" wrapText="1"/>
    </xf>
    <xf numFmtId="4" fontId="28" fillId="0" borderId="66" xfId="30" applyNumberFormat="1" applyFont="1" applyFill="1" applyBorder="1" applyAlignment="1">
      <alignment vertical="center"/>
    </xf>
    <xf numFmtId="0" fontId="20" fillId="0" borderId="67" xfId="30" applyFont="1" applyFill="1" applyBorder="1" applyAlignment="1">
      <alignment vertical="center"/>
    </xf>
    <xf numFmtId="0" fontId="1" fillId="0" borderId="68" xfId="30" applyFont="1" applyFill="1" applyBorder="1" applyAlignment="1">
      <alignment horizontal="center" vertical="center"/>
    </xf>
    <xf numFmtId="2" fontId="20" fillId="0" borderId="50" xfId="29" applyNumberFormat="1" applyFont="1" applyBorder="1" applyAlignment="1">
      <alignment horizontal="center" vertical="center"/>
    </xf>
    <xf numFmtId="1" fontId="1" fillId="0" borderId="50" xfId="30" applyNumberFormat="1" applyFont="1" applyFill="1" applyBorder="1" applyAlignment="1">
      <alignment horizontal="center" vertical="center"/>
    </xf>
    <xf numFmtId="1" fontId="1" fillId="0" borderId="69" xfId="30" applyNumberFormat="1" applyFont="1" applyFill="1" applyBorder="1" applyAlignment="1">
      <alignment horizontal="center" vertical="center"/>
    </xf>
    <xf numFmtId="0" fontId="29" fillId="0" borderId="70" xfId="28" applyFont="1" applyFill="1" applyBorder="1" applyAlignment="1">
      <alignment vertical="center" wrapText="1"/>
    </xf>
    <xf numFmtId="4" fontId="1" fillId="0" borderId="71" xfId="30" applyNumberFormat="1" applyFont="1" applyFill="1" applyBorder="1" applyAlignment="1">
      <alignment vertical="center"/>
    </xf>
    <xf numFmtId="0" fontId="29" fillId="0" borderId="72" xfId="28" applyFont="1" applyFill="1" applyBorder="1" applyAlignment="1">
      <alignment vertical="center" wrapText="1"/>
    </xf>
    <xf numFmtId="4" fontId="1" fillId="0" borderId="57" xfId="30" applyNumberFormat="1" applyFont="1" applyFill="1" applyBorder="1" applyAlignment="1">
      <alignment vertical="center"/>
    </xf>
    <xf numFmtId="171" fontId="1" fillId="0" borderId="57" xfId="30" applyNumberFormat="1" applyFont="1" applyFill="1" applyBorder="1" applyAlignment="1">
      <alignment vertical="center"/>
    </xf>
    <xf numFmtId="2" fontId="20" fillId="0" borderId="50" xfId="30" applyNumberFormat="1" applyFont="1" applyBorder="1" applyAlignment="1">
      <alignment horizontal="center" vertical="center"/>
    </xf>
    <xf numFmtId="2" fontId="1" fillId="0" borderId="56" xfId="30" applyNumberFormat="1" applyFont="1" applyBorder="1" applyAlignment="1">
      <alignment horizontal="left" vertical="center"/>
    </xf>
    <xf numFmtId="2" fontId="20" fillId="0" borderId="59" xfId="30" applyNumberFormat="1" applyFont="1" applyBorder="1" applyAlignment="1">
      <alignment horizontal="center" vertical="center"/>
    </xf>
    <xf numFmtId="0" fontId="1" fillId="0" borderId="49" xfId="30" applyFont="1" applyFill="1" applyBorder="1" applyAlignment="1">
      <alignment horizontal="center" vertical="center"/>
    </xf>
    <xf numFmtId="0" fontId="29" fillId="0" borderId="73" xfId="28" applyFont="1" applyFill="1" applyBorder="1" applyAlignment="1">
      <alignment vertical="center" wrapText="1"/>
    </xf>
    <xf numFmtId="2" fontId="1" fillId="0" borderId="50" xfId="30" applyNumberFormat="1" applyFont="1" applyFill="1" applyBorder="1" applyAlignment="1">
      <alignment horizontal="left" vertical="center"/>
    </xf>
    <xf numFmtId="0" fontId="1" fillId="0" borderId="74" xfId="30" applyFont="1" applyFill="1" applyBorder="1" applyAlignment="1">
      <alignment horizontal="center" vertical="center"/>
    </xf>
    <xf numFmtId="2" fontId="20" fillId="0" borderId="75" xfId="30" applyNumberFormat="1" applyFont="1" applyBorder="1" applyAlignment="1">
      <alignment horizontal="center" vertical="center"/>
    </xf>
    <xf numFmtId="1" fontId="1" fillId="0" borderId="75" xfId="30" applyNumberFormat="1" applyFont="1" applyFill="1" applyBorder="1" applyAlignment="1">
      <alignment horizontal="center" vertical="center"/>
    </xf>
    <xf numFmtId="0" fontId="29" fillId="0" borderId="76" xfId="28" applyFont="1" applyFill="1" applyBorder="1" applyAlignment="1">
      <alignment vertical="center" wrapText="1"/>
    </xf>
    <xf numFmtId="4" fontId="1" fillId="0" borderId="77" xfId="30" applyNumberFormat="1" applyFont="1" applyFill="1" applyBorder="1" applyAlignment="1">
      <alignment vertical="center"/>
    </xf>
    <xf numFmtId="4" fontId="1" fillId="0" borderId="77" xfId="29" applyNumberFormat="1" applyFont="1" applyFill="1" applyBorder="1" applyAlignment="1">
      <alignment vertical="center"/>
    </xf>
    <xf numFmtId="0" fontId="20" fillId="0" borderId="78" xfId="30" applyFont="1" applyFill="1" applyBorder="1" applyAlignment="1">
      <alignment horizontal="center" vertical="center"/>
    </xf>
    <xf numFmtId="49" fontId="20" fillId="0" borderId="69" xfId="30" applyNumberFormat="1" applyFont="1" applyFill="1" applyBorder="1" applyAlignment="1">
      <alignment horizontal="center" vertical="center" wrapText="1"/>
    </xf>
    <xf numFmtId="0" fontId="20" fillId="0" borderId="69" xfId="30" applyFont="1" applyFill="1" applyBorder="1" applyAlignment="1">
      <alignment horizontal="center" vertical="center"/>
    </xf>
    <xf numFmtId="0" fontId="20" fillId="0" borderId="70" xfId="30" applyFont="1" applyFill="1" applyBorder="1" applyAlignment="1">
      <alignment vertical="center"/>
    </xf>
    <xf numFmtId="4" fontId="20" fillId="0" borderId="48" xfId="30" applyNumberFormat="1" applyFont="1" applyFill="1" applyBorder="1" applyAlignment="1">
      <alignment vertical="center"/>
    </xf>
    <xf numFmtId="171" fontId="20" fillId="0" borderId="48" xfId="30" applyNumberFormat="1" applyFont="1" applyFill="1" applyBorder="1" applyAlignment="1">
      <alignment vertical="center"/>
    </xf>
    <xf numFmtId="2" fontId="1" fillId="0" borderId="56" xfId="30" applyNumberFormat="1" applyFont="1" applyFill="1" applyBorder="1" applyAlignment="1">
      <alignment horizontal="left" vertical="center"/>
    </xf>
    <xf numFmtId="2" fontId="1" fillId="0" borderId="72" xfId="30" applyNumberFormat="1" applyFont="1" applyFill="1" applyBorder="1" applyAlignment="1">
      <alignment horizontal="left" vertical="center"/>
    </xf>
    <xf numFmtId="1" fontId="1" fillId="0" borderId="58" xfId="30" applyNumberFormat="1" applyFont="1" applyFill="1" applyBorder="1" applyAlignment="1">
      <alignment horizontal="center" vertical="center"/>
    </xf>
    <xf numFmtId="171" fontId="1" fillId="0" borderId="71" xfId="30" applyNumberFormat="1" applyFont="1" applyFill="1" applyBorder="1" applyAlignment="1">
      <alignment vertical="center"/>
    </xf>
    <xf numFmtId="4" fontId="1" fillId="0" borderId="71" xfId="29" applyNumberFormat="1" applyFont="1" applyFill="1" applyBorder="1" applyAlignment="1">
      <alignment vertical="center"/>
    </xf>
    <xf numFmtId="2" fontId="1" fillId="0" borderId="60" xfId="30" applyNumberFormat="1" applyFont="1" applyFill="1" applyBorder="1" applyAlignment="1">
      <alignment horizontal="left" vertical="center"/>
    </xf>
    <xf numFmtId="1" fontId="1" fillId="0" borderId="50" xfId="29" applyNumberFormat="1" applyFont="1" applyFill="1" applyBorder="1" applyAlignment="1">
      <alignment horizontal="center" vertical="center"/>
    </xf>
    <xf numFmtId="1" fontId="1" fillId="0" borderId="75" xfId="29" applyNumberFormat="1" applyFont="1" applyFill="1" applyBorder="1" applyAlignment="1">
      <alignment horizontal="center" vertical="center"/>
    </xf>
    <xf numFmtId="171" fontId="1" fillId="0" borderId="77" xfId="29" applyNumberFormat="1" applyFont="1" applyFill="1" applyBorder="1" applyAlignment="1">
      <alignment vertical="center"/>
    </xf>
    <xf numFmtId="0" fontId="1" fillId="0" borderId="79" xfId="30" applyFont="1" applyFill="1" applyBorder="1" applyAlignment="1">
      <alignment horizontal="center" vertical="center"/>
    </xf>
    <xf numFmtId="2" fontId="20" fillId="0" borderId="80" xfId="30" applyNumberFormat="1" applyFont="1" applyBorder="1" applyAlignment="1">
      <alignment horizontal="center" vertical="center"/>
    </xf>
    <xf numFmtId="1" fontId="1" fillId="0" borderId="80" xfId="30" applyNumberFormat="1" applyFont="1" applyFill="1" applyBorder="1" applyAlignment="1">
      <alignment horizontal="center" vertical="center"/>
    </xf>
    <xf numFmtId="1" fontId="1" fillId="0" borderId="80" xfId="29" applyNumberFormat="1" applyFont="1" applyFill="1" applyBorder="1" applyAlignment="1">
      <alignment horizontal="center" vertical="center"/>
    </xf>
    <xf numFmtId="0" fontId="29" fillId="0" borderId="81" xfId="28" applyFont="1" applyFill="1" applyBorder="1" applyAlignment="1">
      <alignment vertical="center" wrapText="1"/>
    </xf>
    <xf numFmtId="4" fontId="1" fillId="0" borderId="82" xfId="30" applyNumberFormat="1" applyFont="1" applyFill="1" applyBorder="1" applyAlignment="1">
      <alignment vertical="center"/>
    </xf>
    <xf numFmtId="4" fontId="1" fillId="0" borderId="82" xfId="29" applyNumberFormat="1" applyFont="1" applyFill="1" applyBorder="1" applyAlignment="1">
      <alignment vertical="center"/>
    </xf>
    <xf numFmtId="171" fontId="1" fillId="0" borderId="82" xfId="29" applyNumberFormat="1" applyFont="1" applyFill="1" applyBorder="1" applyAlignment="1">
      <alignment vertical="center"/>
    </xf>
    <xf numFmtId="4" fontId="1" fillId="0" borderId="48" xfId="30" applyNumberFormat="1" applyFont="1" applyFill="1" applyBorder="1" applyAlignment="1">
      <alignment vertical="center"/>
    </xf>
    <xf numFmtId="49" fontId="20" fillId="0" borderId="83" xfId="30" applyNumberFormat="1" applyFont="1" applyFill="1" applyBorder="1" applyAlignment="1">
      <alignment horizontal="center" vertical="center" wrapText="1"/>
    </xf>
    <xf numFmtId="0" fontId="20" fillId="0" borderId="83" xfId="30" applyFont="1" applyFill="1" applyBorder="1" applyAlignment="1">
      <alignment horizontal="center" vertical="center"/>
    </xf>
    <xf numFmtId="0" fontId="20" fillId="0" borderId="84" xfId="30" applyFont="1" applyFill="1" applyBorder="1" applyAlignment="1">
      <alignment vertical="center"/>
    </xf>
    <xf numFmtId="4" fontId="1" fillId="0" borderId="85" xfId="30" applyNumberFormat="1" applyFont="1" applyFill="1" applyBorder="1" applyAlignment="1">
      <alignment vertical="center"/>
    </xf>
    <xf numFmtId="0" fontId="20" fillId="0" borderId="86" xfId="30" applyFont="1" applyFill="1" applyBorder="1" applyAlignment="1">
      <alignment horizontal="center" vertical="center"/>
    </xf>
    <xf numFmtId="171" fontId="1" fillId="0" borderId="25" xfId="30" applyNumberFormat="1" applyFont="1" applyFill="1" applyBorder="1" applyAlignment="1">
      <alignment vertical="center"/>
    </xf>
    <xf numFmtId="1" fontId="1" fillId="0" borderId="87" xfId="30" applyNumberFormat="1" applyFont="1" applyFill="1" applyBorder="1" applyAlignment="1">
      <alignment horizontal="center" vertical="center"/>
    </xf>
    <xf numFmtId="2" fontId="1" fillId="0" borderId="81" xfId="30" applyNumberFormat="1" applyFont="1" applyFill="1" applyBorder="1" applyAlignment="1">
      <alignment horizontal="left" vertical="center"/>
    </xf>
    <xf numFmtId="2" fontId="1" fillId="26" borderId="16" xfId="29" applyNumberFormat="1" applyFont="1" applyFill="1" applyBorder="1" applyAlignment="1">
      <alignment horizontal="center" vertical="center"/>
    </xf>
    <xf numFmtId="1" fontId="1" fillId="0" borderId="88" xfId="29" applyNumberFormat="1" applyFont="1" applyFill="1" applyBorder="1" applyAlignment="1">
      <alignment horizontal="center" vertical="center"/>
    </xf>
    <xf numFmtId="2" fontId="1" fillId="0" borderId="62" xfId="29" applyNumberFormat="1" applyFont="1" applyFill="1" applyBorder="1" applyAlignment="1">
      <alignment horizontal="left" vertical="center"/>
    </xf>
    <xf numFmtId="2" fontId="1" fillId="26" borderId="19" xfId="29" applyNumberFormat="1" applyFont="1" applyFill="1" applyBorder="1" applyAlignment="1">
      <alignment horizontal="center" vertical="center"/>
    </xf>
    <xf numFmtId="4" fontId="20" fillId="0" borderId="25" xfId="30" applyNumberFormat="1" applyFont="1" applyFill="1" applyBorder="1" applyAlignment="1">
      <alignment vertical="center"/>
    </xf>
    <xf numFmtId="171" fontId="20" fillId="0" borderId="25" xfId="30" applyNumberFormat="1" applyFont="1" applyFill="1" applyBorder="1" applyAlignment="1">
      <alignment vertical="center"/>
    </xf>
    <xf numFmtId="4" fontId="1" fillId="0" borderId="85" xfId="29" applyNumberFormat="1" applyFont="1" applyFill="1" applyBorder="1" applyAlignment="1">
      <alignment vertical="center"/>
    </xf>
    <xf numFmtId="0" fontId="0" fillId="0" borderId="89" xfId="0" applyBorder="1" applyAlignment="1">
      <alignment vertical="center"/>
    </xf>
    <xf numFmtId="0" fontId="1" fillId="0" borderId="90" xfId="30" applyFont="1" applyFill="1" applyBorder="1" applyAlignment="1">
      <alignment horizontal="center" vertical="center"/>
    </xf>
    <xf numFmtId="171" fontId="1" fillId="0" borderId="14" xfId="29" applyNumberFormat="1" applyFont="1" applyFill="1" applyBorder="1" applyAlignment="1">
      <alignment vertical="center"/>
    </xf>
    <xf numFmtId="4" fontId="20" fillId="0" borderId="91" xfId="29" applyNumberFormat="1" applyFont="1" applyFill="1" applyBorder="1" applyAlignment="1">
      <alignment vertical="center"/>
    </xf>
    <xf numFmtId="2" fontId="20" fillId="0" borderId="34" xfId="29" applyNumberFormat="1" applyFont="1" applyBorder="1" applyAlignment="1">
      <alignment horizontal="center" vertical="center"/>
    </xf>
    <xf numFmtId="2" fontId="20" fillId="0" borderId="64" xfId="29" applyNumberFormat="1" applyFont="1" applyBorder="1" applyAlignment="1">
      <alignment horizontal="center" vertical="center"/>
    </xf>
    <xf numFmtId="0" fontId="20" fillId="0" borderId="66" xfId="31" applyFont="1" applyBorder="1" applyAlignment="1">
      <alignment horizontal="center" vertical="center"/>
    </xf>
    <xf numFmtId="0" fontId="20" fillId="0" borderId="92" xfId="31" applyFont="1" applyBorder="1" applyAlignment="1">
      <alignment horizontal="center" vertical="center"/>
    </xf>
    <xf numFmtId="0" fontId="20" fillId="0" borderId="93" xfId="31" applyFont="1" applyBorder="1" applyAlignment="1">
      <alignment horizontal="center" vertical="center"/>
    </xf>
    <xf numFmtId="0" fontId="20" fillId="0" borderId="66" xfId="29" applyFont="1" applyFill="1" applyBorder="1" applyAlignment="1">
      <alignment horizontal="center" vertical="center"/>
    </xf>
    <xf numFmtId="0" fontId="1" fillId="0" borderId="94" xfId="29" applyFont="1" applyBorder="1" applyAlignment="1">
      <alignment horizontal="center" vertical="center" textRotation="90" wrapText="1"/>
    </xf>
    <xf numFmtId="0" fontId="1" fillId="0" borderId="95" xfId="29" applyFont="1" applyBorder="1" applyAlignment="1">
      <alignment horizontal="center" vertical="center" textRotation="90" wrapText="1"/>
    </xf>
    <xf numFmtId="0" fontId="1" fillId="0" borderId="14" xfId="29" applyFont="1" applyBorder="1" applyAlignment="1">
      <alignment horizontal="center" vertical="center" textRotation="90" wrapText="1"/>
    </xf>
    <xf numFmtId="0" fontId="23" fillId="0" borderId="0" xfId="0" applyFont="1" applyFill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2" fontId="20" fillId="0" borderId="96" xfId="29" applyNumberFormat="1" applyFont="1" applyBorder="1" applyAlignment="1">
      <alignment horizontal="center" vertical="center"/>
    </xf>
    <xf numFmtId="2" fontId="20" fillId="0" borderId="97" xfId="29" applyNumberFormat="1" applyFont="1" applyBorder="1" applyAlignment="1">
      <alignment horizontal="center" vertical="center"/>
    </xf>
  </cellXfs>
  <cellStyles count="47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 2" xfId="27"/>
    <cellStyle name="normální_2. čtení rozpočtu 2006 - příjmy" xfId="28"/>
    <cellStyle name="normální_Rozpis výdajů 03 bez PO 2" xfId="29"/>
    <cellStyle name="normální_Rozpis výdajů 03 bez PO 2 2" xfId="30"/>
    <cellStyle name="normální_Rozpis výdajů 03 bez PO 3" xfId="31"/>
    <cellStyle name="normální_Rozpis výdajů 03 bez PO_UR 2008 1-168 tisk" xfId="32"/>
    <cellStyle name="Poznámka" xfId="33" builtinId="10" customBuiltin="1"/>
    <cellStyle name="Propojená buňka" xfId="34" builtinId="24" customBuiltin="1"/>
    <cellStyle name="Správně" xfId="35" builtinId="26" customBuiltin="1"/>
    <cellStyle name="Text upozornění" xfId="36" builtinId="11" customBuiltin="1"/>
    <cellStyle name="Vstup" xfId="37" builtinId="20" customBuiltin="1"/>
    <cellStyle name="Výpočet" xfId="38" builtinId="22" customBuiltin="1"/>
    <cellStyle name="Výstup" xfId="39" builtinId="21" customBuiltin="1"/>
    <cellStyle name="Vysvětlující text" xfId="40" builtinId="53" customBuiltin="1"/>
    <cellStyle name="Zvýraznění 1" xfId="41" builtinId="29" customBuiltin="1"/>
    <cellStyle name="Zvýraznění 2" xfId="42" builtinId="33" customBuiltin="1"/>
    <cellStyle name="Zvýraznění 3" xfId="43" builtinId="37" customBuiltin="1"/>
    <cellStyle name="Zvýraznění 4" xfId="44" builtinId="41" customBuiltin="1"/>
    <cellStyle name="Zvýraznění 5" xfId="45" builtinId="45" customBuiltin="1"/>
    <cellStyle name="Zvýraznění 6" xfId="46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34"/>
  <sheetViews>
    <sheetView tabSelected="1" workbookViewId="0">
      <selection activeCell="I8" sqref="I8"/>
    </sheetView>
  </sheetViews>
  <sheetFormatPr defaultRowHeight="12.75" x14ac:dyDescent="0.2"/>
  <cols>
    <col min="1" max="1" width="3.85546875" style="1" customWidth="1"/>
    <col min="2" max="2" width="3.42578125" style="1" customWidth="1"/>
    <col min="3" max="3" width="10" style="1" customWidth="1"/>
    <col min="4" max="4" width="5.5703125" style="1" customWidth="1"/>
    <col min="5" max="5" width="5.7109375" style="1" customWidth="1"/>
    <col min="6" max="6" width="41.28515625" style="1" customWidth="1"/>
    <col min="7" max="7" width="8.42578125" style="1" customWidth="1"/>
    <col min="8" max="9" width="9.7109375" style="1" customWidth="1"/>
    <col min="10" max="10" width="9.140625" style="1"/>
    <col min="11" max="11" width="10.140625" style="1" bestFit="1" customWidth="1"/>
    <col min="12" max="16384" width="9.140625" style="1"/>
  </cols>
  <sheetData>
    <row r="1" spans="1:10" ht="18" x14ac:dyDescent="0.2">
      <c r="A1" s="191" t="s">
        <v>205</v>
      </c>
      <c r="B1" s="191"/>
      <c r="C1" s="191"/>
      <c r="D1" s="191"/>
      <c r="E1" s="191"/>
      <c r="F1" s="191"/>
      <c r="G1" s="191"/>
      <c r="H1" s="191"/>
      <c r="I1" s="191"/>
      <c r="J1" s="191"/>
    </row>
    <row r="3" spans="1:10" ht="15.75" x14ac:dyDescent="0.2">
      <c r="A3" s="192" t="s">
        <v>11</v>
      </c>
      <c r="B3" s="192"/>
      <c r="C3" s="192"/>
      <c r="D3" s="192"/>
      <c r="E3" s="192"/>
      <c r="F3" s="192"/>
      <c r="G3" s="192"/>
      <c r="H3" s="192"/>
      <c r="I3" s="192"/>
      <c r="J3" s="192"/>
    </row>
    <row r="4" spans="1:10" x14ac:dyDescent="0.2">
      <c r="A4" s="29"/>
      <c r="B4" s="29"/>
      <c r="C4" s="29"/>
      <c r="D4" s="29"/>
      <c r="E4" s="29"/>
      <c r="F4" s="29"/>
      <c r="G4" s="29"/>
      <c r="H4" s="29"/>
      <c r="I4" s="29"/>
      <c r="J4" s="50"/>
    </row>
    <row r="5" spans="1:10" ht="15.75" x14ac:dyDescent="0.2">
      <c r="A5" s="192" t="s">
        <v>9</v>
      </c>
      <c r="B5" s="192"/>
      <c r="C5" s="192"/>
      <c r="D5" s="192"/>
      <c r="E5" s="192"/>
      <c r="F5" s="192"/>
      <c r="G5" s="192"/>
      <c r="H5" s="192"/>
      <c r="I5" s="192"/>
      <c r="J5" s="192"/>
    </row>
    <row r="6" spans="1:10" ht="13.5" thickBot="1" x14ac:dyDescent="0.25">
      <c r="A6" s="51"/>
      <c r="B6" s="51"/>
      <c r="C6" s="51"/>
      <c r="D6" s="51"/>
      <c r="E6" s="51"/>
      <c r="F6" s="51"/>
      <c r="G6" s="51"/>
      <c r="H6" s="51"/>
      <c r="I6" s="51"/>
      <c r="J6" s="52" t="s">
        <v>8</v>
      </c>
    </row>
    <row r="7" spans="1:10" ht="12.75" customHeight="1" thickBot="1" x14ac:dyDescent="0.25">
      <c r="A7" s="193" t="s">
        <v>12</v>
      </c>
      <c r="B7" s="194" t="s">
        <v>1</v>
      </c>
      <c r="C7" s="182" t="s">
        <v>3</v>
      </c>
      <c r="D7" s="182" t="s">
        <v>4</v>
      </c>
      <c r="E7" s="182" t="s">
        <v>5</v>
      </c>
      <c r="F7" s="183" t="s">
        <v>13</v>
      </c>
      <c r="G7" s="184" t="s">
        <v>113</v>
      </c>
      <c r="H7" s="185" t="s">
        <v>114</v>
      </c>
      <c r="I7" s="187" t="s">
        <v>206</v>
      </c>
      <c r="J7" s="187"/>
    </row>
    <row r="8" spans="1:10" ht="12.75" customHeight="1" thickBot="1" x14ac:dyDescent="0.25">
      <c r="A8" s="193"/>
      <c r="B8" s="194"/>
      <c r="C8" s="182"/>
      <c r="D8" s="182"/>
      <c r="E8" s="182"/>
      <c r="F8" s="183"/>
      <c r="G8" s="184"/>
      <c r="H8" s="186"/>
      <c r="I8" s="54" t="s">
        <v>6</v>
      </c>
      <c r="J8" s="55" t="s">
        <v>115</v>
      </c>
    </row>
    <row r="9" spans="1:10" ht="12.75" customHeight="1" thickBot="1" x14ac:dyDescent="0.25">
      <c r="A9" s="56">
        <v>920</v>
      </c>
      <c r="B9" s="57" t="s">
        <v>2</v>
      </c>
      <c r="C9" s="53" t="s">
        <v>3</v>
      </c>
      <c r="D9" s="58" t="s">
        <v>4</v>
      </c>
      <c r="E9" s="58" t="s">
        <v>5</v>
      </c>
      <c r="F9" s="59" t="s">
        <v>14</v>
      </c>
      <c r="G9" s="60">
        <f>G10+G12+G14+G16+G18+G20+G22+G24+G26+G31+G60+G128</f>
        <v>103000</v>
      </c>
      <c r="H9" s="61">
        <f>H10+H12+H14+H16+H18+H20+H22+H24+H26+H31+H60+H128</f>
        <v>634038.06799999997</v>
      </c>
      <c r="I9" s="181">
        <f>I10+I12+I14+I16+I18+I20+I22+I24+I26+I31+I60+I128</f>
        <v>0</v>
      </c>
      <c r="J9" s="62">
        <f>J10+J12+J14+J16+J18+J20+J22+J24+J26+J31+J60+J128</f>
        <v>634038.06799999997</v>
      </c>
    </row>
    <row r="10" spans="1:10" ht="13.15" customHeight="1" x14ac:dyDescent="0.2">
      <c r="A10" s="188" t="s">
        <v>7</v>
      </c>
      <c r="B10" s="63" t="s">
        <v>2</v>
      </c>
      <c r="C10" s="64" t="s">
        <v>15</v>
      </c>
      <c r="D10" s="65" t="s">
        <v>0</v>
      </c>
      <c r="E10" s="65" t="s">
        <v>0</v>
      </c>
      <c r="F10" s="66" t="s">
        <v>16</v>
      </c>
      <c r="G10" s="67">
        <f>SUM(G11:G11)</f>
        <v>3000</v>
      </c>
      <c r="H10" s="68">
        <f>SUM(H11:H11)</f>
        <v>2580</v>
      </c>
      <c r="I10" s="69">
        <f>SUM(I11:I11)</f>
        <v>0</v>
      </c>
      <c r="J10" s="69">
        <f>SUM(J11:J11)</f>
        <v>2580</v>
      </c>
    </row>
    <row r="11" spans="1:10" ht="13.15" customHeight="1" thickBot="1" x14ac:dyDescent="0.25">
      <c r="A11" s="189"/>
      <c r="B11" s="70"/>
      <c r="C11" s="71"/>
      <c r="D11" s="72">
        <v>2212</v>
      </c>
      <c r="E11" s="72">
        <v>6130</v>
      </c>
      <c r="F11" s="73" t="s">
        <v>17</v>
      </c>
      <c r="G11" s="74">
        <v>3000</v>
      </c>
      <c r="H11" s="75">
        <f>3000-420</f>
        <v>2580</v>
      </c>
      <c r="I11" s="74"/>
      <c r="J11" s="74">
        <f>H11+I11</f>
        <v>2580</v>
      </c>
    </row>
    <row r="12" spans="1:10" ht="12.6" customHeight="1" x14ac:dyDescent="0.2">
      <c r="A12" s="189"/>
      <c r="B12" s="77" t="s">
        <v>2</v>
      </c>
      <c r="C12" s="78" t="s">
        <v>20</v>
      </c>
      <c r="D12" s="79" t="s">
        <v>0</v>
      </c>
      <c r="E12" s="79" t="s">
        <v>0</v>
      </c>
      <c r="F12" s="80" t="s">
        <v>21</v>
      </c>
      <c r="G12" s="81">
        <f>SUM(G13:G13)</f>
        <v>100000</v>
      </c>
      <c r="H12" s="81">
        <f>SUM(H13:H13)</f>
        <v>2952.0769999999984</v>
      </c>
      <c r="I12" s="83">
        <f>SUM(I13:I13)</f>
        <v>0</v>
      </c>
      <c r="J12" s="83">
        <f>SUM(J13:J13)</f>
        <v>2952.0769999999984</v>
      </c>
    </row>
    <row r="13" spans="1:10" ht="12.6" customHeight="1" thickBot="1" x14ac:dyDescent="0.25">
      <c r="A13" s="189"/>
      <c r="B13" s="84"/>
      <c r="C13" s="85"/>
      <c r="D13" s="86">
        <v>2212</v>
      </c>
      <c r="E13" s="86">
        <v>5901</v>
      </c>
      <c r="F13" s="87" t="s">
        <v>22</v>
      </c>
      <c r="G13" s="74">
        <v>100000</v>
      </c>
      <c r="H13" s="88">
        <f>100000+200000-55272.939-5730.264-28842.09-1-61935.571-24228.135-1581.826-100473.077-15419.451-249.127-4201.47+224.316+662.711</f>
        <v>2952.0769999999984</v>
      </c>
      <c r="I13" s="74"/>
      <c r="J13" s="89">
        <f>H13+I13</f>
        <v>2952.0769999999984</v>
      </c>
    </row>
    <row r="14" spans="1:10" ht="22.5" x14ac:dyDescent="0.2">
      <c r="A14" s="189"/>
      <c r="B14" s="90" t="s">
        <v>2</v>
      </c>
      <c r="C14" s="91" t="s">
        <v>51</v>
      </c>
      <c r="D14" s="92" t="s">
        <v>0</v>
      </c>
      <c r="E14" s="92" t="s">
        <v>0</v>
      </c>
      <c r="F14" s="93" t="s">
        <v>52</v>
      </c>
      <c r="G14" s="94">
        <f>SUM(G15:G15)</f>
        <v>0</v>
      </c>
      <c r="H14" s="83">
        <f>SUM(H15:H15)</f>
        <v>118.58</v>
      </c>
      <c r="I14" s="83">
        <f>SUM(I15:I15)</f>
        <v>0</v>
      </c>
      <c r="J14" s="83">
        <f>SUM(J15:J15)</f>
        <v>118.58</v>
      </c>
    </row>
    <row r="15" spans="1:10" ht="12.6" customHeight="1" thickBot="1" x14ac:dyDescent="0.25">
      <c r="A15" s="189"/>
      <c r="B15" s="95"/>
      <c r="C15" s="96"/>
      <c r="D15" s="97">
        <v>2212</v>
      </c>
      <c r="E15" s="97">
        <v>6121</v>
      </c>
      <c r="F15" s="98" t="s">
        <v>19</v>
      </c>
      <c r="G15" s="88">
        <v>0</v>
      </c>
      <c r="H15" s="88">
        <v>118.58</v>
      </c>
      <c r="I15" s="88"/>
      <c r="J15" s="89">
        <f>H15+I15</f>
        <v>118.58</v>
      </c>
    </row>
    <row r="16" spans="1:10" ht="12.6" customHeight="1" x14ac:dyDescent="0.2">
      <c r="A16" s="189"/>
      <c r="B16" s="17" t="s">
        <v>2</v>
      </c>
      <c r="C16" s="12" t="s">
        <v>186</v>
      </c>
      <c r="D16" s="18" t="s">
        <v>0</v>
      </c>
      <c r="E16" s="18" t="s">
        <v>0</v>
      </c>
      <c r="F16" s="4" t="s">
        <v>187</v>
      </c>
      <c r="G16" s="30">
        <f>SUM(G17:G17)</f>
        <v>0</v>
      </c>
      <c r="H16" s="2">
        <f>SUM(H17:H17)</f>
        <v>508.2</v>
      </c>
      <c r="I16" s="2">
        <f>SUM(I17:I17)</f>
        <v>0</v>
      </c>
      <c r="J16" s="2">
        <f>SUM(J17:J17)</f>
        <v>508.2</v>
      </c>
    </row>
    <row r="17" spans="1:10" ht="12.6" customHeight="1" thickBot="1" x14ac:dyDescent="0.25">
      <c r="A17" s="189"/>
      <c r="B17" s="19"/>
      <c r="C17" s="22"/>
      <c r="D17" s="31">
        <v>2219</v>
      </c>
      <c r="E17" s="15">
        <v>6121</v>
      </c>
      <c r="F17" s="28" t="s">
        <v>18</v>
      </c>
      <c r="G17" s="9">
        <v>0</v>
      </c>
      <c r="H17" s="10">
        <v>508.2</v>
      </c>
      <c r="I17" s="10"/>
      <c r="J17" s="3">
        <f>H17+I17</f>
        <v>508.2</v>
      </c>
    </row>
    <row r="18" spans="1:10" ht="22.5" x14ac:dyDescent="0.2">
      <c r="A18" s="189"/>
      <c r="B18" s="90" t="s">
        <v>2</v>
      </c>
      <c r="C18" s="91" t="s">
        <v>116</v>
      </c>
      <c r="D18" s="92" t="s">
        <v>0</v>
      </c>
      <c r="E18" s="92" t="s">
        <v>0</v>
      </c>
      <c r="F18" s="80" t="s">
        <v>117</v>
      </c>
      <c r="G18" s="94">
        <f>SUM(G19:G19)</f>
        <v>0</v>
      </c>
      <c r="H18" s="83">
        <f>SUM(H19:H19)</f>
        <v>942.59</v>
      </c>
      <c r="I18" s="83">
        <f>SUM(I19:I19)</f>
        <v>0</v>
      </c>
      <c r="J18" s="83">
        <f>SUM(J19:J19)</f>
        <v>942.59</v>
      </c>
    </row>
    <row r="19" spans="1:10" ht="12.6" customHeight="1" thickBot="1" x14ac:dyDescent="0.25">
      <c r="A19" s="189"/>
      <c r="B19" s="95"/>
      <c r="C19" s="96"/>
      <c r="D19" s="100">
        <v>2219</v>
      </c>
      <c r="E19" s="101">
        <v>6121</v>
      </c>
      <c r="F19" s="102" t="s">
        <v>18</v>
      </c>
      <c r="G19" s="88">
        <v>0</v>
      </c>
      <c r="H19" s="88">
        <v>942.59</v>
      </c>
      <c r="I19" s="88"/>
      <c r="J19" s="89">
        <f>H19+I19</f>
        <v>942.59</v>
      </c>
    </row>
    <row r="20" spans="1:10" ht="12.6" customHeight="1" x14ac:dyDescent="0.2">
      <c r="A20" s="189"/>
      <c r="B20" s="90" t="s">
        <v>2</v>
      </c>
      <c r="C20" s="91" t="s">
        <v>118</v>
      </c>
      <c r="D20" s="92" t="s">
        <v>0</v>
      </c>
      <c r="E20" s="92" t="s">
        <v>0</v>
      </c>
      <c r="F20" s="80" t="s">
        <v>119</v>
      </c>
      <c r="G20" s="94">
        <f>SUM(G21:G21)</f>
        <v>0</v>
      </c>
      <c r="H20" s="83">
        <f>SUM(H21:H21)</f>
        <v>24000</v>
      </c>
      <c r="I20" s="83">
        <f>SUM(I21:I21)</f>
        <v>-24000</v>
      </c>
      <c r="J20" s="83">
        <f>SUM(J21:J21)</f>
        <v>0</v>
      </c>
    </row>
    <row r="21" spans="1:10" ht="12.6" customHeight="1" thickBot="1" x14ac:dyDescent="0.25">
      <c r="A21" s="189"/>
      <c r="B21" s="95"/>
      <c r="C21" s="96"/>
      <c r="D21" s="103">
        <v>2221</v>
      </c>
      <c r="E21" s="104">
        <v>6202</v>
      </c>
      <c r="F21" s="105" t="s">
        <v>120</v>
      </c>
      <c r="G21" s="88">
        <v>0</v>
      </c>
      <c r="H21" s="88">
        <f>44000-20000</f>
        <v>24000</v>
      </c>
      <c r="I21" s="88">
        <v>-24000</v>
      </c>
      <c r="J21" s="89">
        <f>H21+I21</f>
        <v>0</v>
      </c>
    </row>
    <row r="22" spans="1:10" ht="12.6" customHeight="1" x14ac:dyDescent="0.2">
      <c r="A22" s="189"/>
      <c r="B22" s="17" t="s">
        <v>2</v>
      </c>
      <c r="C22" s="12" t="s">
        <v>121</v>
      </c>
      <c r="D22" s="13" t="s">
        <v>0</v>
      </c>
      <c r="E22" s="13" t="s">
        <v>0</v>
      </c>
      <c r="F22" s="106" t="s">
        <v>122</v>
      </c>
      <c r="G22" s="30">
        <f>SUM(G23:G23)</f>
        <v>0</v>
      </c>
      <c r="H22" s="2">
        <f>SUM(H23:H23)</f>
        <v>20001</v>
      </c>
      <c r="I22" s="83">
        <f>SUM(I23:I23)</f>
        <v>24000</v>
      </c>
      <c r="J22" s="83">
        <f>SUM(J23:J23)</f>
        <v>44001</v>
      </c>
    </row>
    <row r="23" spans="1:10" ht="12.6" customHeight="1" thickBot="1" x14ac:dyDescent="0.25">
      <c r="A23" s="189"/>
      <c r="B23" s="19"/>
      <c r="C23" s="22"/>
      <c r="D23" s="107">
        <v>2221</v>
      </c>
      <c r="E23" s="107">
        <v>6202</v>
      </c>
      <c r="F23" s="108" t="s">
        <v>123</v>
      </c>
      <c r="G23" s="9">
        <v>0</v>
      </c>
      <c r="H23" s="9">
        <f>1+20000</f>
        <v>20001</v>
      </c>
      <c r="I23" s="88">
        <v>24000</v>
      </c>
      <c r="J23" s="89">
        <f>H23+I23</f>
        <v>44001</v>
      </c>
    </row>
    <row r="24" spans="1:10" ht="12.6" customHeight="1" x14ac:dyDescent="0.2">
      <c r="A24" s="189"/>
      <c r="B24" s="17" t="s">
        <v>2</v>
      </c>
      <c r="C24" s="12" t="s">
        <v>124</v>
      </c>
      <c r="D24" s="109" t="s">
        <v>0</v>
      </c>
      <c r="E24" s="109" t="s">
        <v>0</v>
      </c>
      <c r="F24" s="110" t="s">
        <v>125</v>
      </c>
      <c r="G24" s="30">
        <f>SUM(G25:G25)</f>
        <v>0</v>
      </c>
      <c r="H24" s="2">
        <f>SUM(H25:H25)</f>
        <v>540.48299999999995</v>
      </c>
      <c r="I24" s="2">
        <f>SUM(I25:I25)</f>
        <v>0</v>
      </c>
      <c r="J24" s="2">
        <f>SUM(J25:J25)</f>
        <v>540.48299999999995</v>
      </c>
    </row>
    <row r="25" spans="1:10" ht="12.6" customHeight="1" thickBot="1" x14ac:dyDescent="0.25">
      <c r="A25" s="189"/>
      <c r="B25" s="19"/>
      <c r="C25" s="22"/>
      <c r="D25" s="111">
        <v>2212</v>
      </c>
      <c r="E25" s="111">
        <v>6121</v>
      </c>
      <c r="F25" s="102" t="s">
        <v>18</v>
      </c>
      <c r="G25" s="9">
        <v>0</v>
      </c>
      <c r="H25" s="9">
        <v>540.48299999999995</v>
      </c>
      <c r="I25" s="9"/>
      <c r="J25" s="3">
        <f>H25+I25</f>
        <v>540.48299999999995</v>
      </c>
    </row>
    <row r="26" spans="1:10" ht="23.25" thickBot="1" x14ac:dyDescent="0.25">
      <c r="A26" s="189"/>
      <c r="B26" s="112" t="s">
        <v>2</v>
      </c>
      <c r="C26" s="113" t="s">
        <v>0</v>
      </c>
      <c r="D26" s="114" t="s">
        <v>0</v>
      </c>
      <c r="E26" s="114" t="s">
        <v>0</v>
      </c>
      <c r="F26" s="115" t="s">
        <v>23</v>
      </c>
      <c r="G26" s="116">
        <f>G27+G30</f>
        <v>0</v>
      </c>
      <c r="H26" s="116">
        <f>H27+H30</f>
        <v>523.92999999999995</v>
      </c>
      <c r="I26" s="116">
        <f>I27+I30</f>
        <v>0</v>
      </c>
      <c r="J26" s="116">
        <f>J27+J30</f>
        <v>523.92999999999995</v>
      </c>
    </row>
    <row r="27" spans="1:10" ht="16.899999999999999" hidden="1" customHeight="1" x14ac:dyDescent="0.2">
      <c r="A27" s="189"/>
      <c r="B27" s="90" t="s">
        <v>2</v>
      </c>
      <c r="C27" s="91" t="s">
        <v>27</v>
      </c>
      <c r="D27" s="92" t="s">
        <v>0</v>
      </c>
      <c r="E27" s="92" t="s">
        <v>0</v>
      </c>
      <c r="F27" s="117" t="s">
        <v>28</v>
      </c>
      <c r="G27" s="83">
        <f>SUM(G28:G28)</f>
        <v>0</v>
      </c>
      <c r="H27" s="83">
        <f>SUM(H28:H28)</f>
        <v>505.78</v>
      </c>
      <c r="I27" s="83">
        <f>SUM(I28:I28)</f>
        <v>0</v>
      </c>
      <c r="J27" s="83">
        <f>SUM(J28:J28)</f>
        <v>505.78</v>
      </c>
    </row>
    <row r="28" spans="1:10" ht="16.899999999999999" hidden="1" customHeight="1" thickBot="1" x14ac:dyDescent="0.25">
      <c r="A28" s="189"/>
      <c r="B28" s="118"/>
      <c r="C28" s="119"/>
      <c r="D28" s="120">
        <v>2212</v>
      </c>
      <c r="E28" s="121">
        <v>6121</v>
      </c>
      <c r="F28" s="122" t="s">
        <v>18</v>
      </c>
      <c r="G28" s="123">
        <v>0</v>
      </c>
      <c r="H28" s="74">
        <v>505.78</v>
      </c>
      <c r="I28" s="74"/>
      <c r="J28" s="74">
        <f>H28+I28</f>
        <v>505.78</v>
      </c>
    </row>
    <row r="29" spans="1:10" ht="16.899999999999999" hidden="1" customHeight="1" x14ac:dyDescent="0.2">
      <c r="A29" s="189"/>
      <c r="B29" s="90" t="s">
        <v>2</v>
      </c>
      <c r="C29" s="91" t="s">
        <v>38</v>
      </c>
      <c r="D29" s="92" t="s">
        <v>0</v>
      </c>
      <c r="E29" s="92" t="s">
        <v>0</v>
      </c>
      <c r="F29" s="117" t="s">
        <v>39</v>
      </c>
      <c r="G29" s="83">
        <f>SUM(G30:G30)</f>
        <v>0</v>
      </c>
      <c r="H29" s="83">
        <f>SUM(H30:H30)</f>
        <v>18.149999999999999</v>
      </c>
      <c r="I29" s="83">
        <f>SUM(I30:I30)</f>
        <v>0</v>
      </c>
      <c r="J29" s="83">
        <f>SUM(J30:J30)</f>
        <v>18.149999999999999</v>
      </c>
    </row>
    <row r="30" spans="1:10" ht="16.899999999999999" hidden="1" customHeight="1" thickBot="1" x14ac:dyDescent="0.25">
      <c r="A30" s="189"/>
      <c r="B30" s="95"/>
      <c r="C30" s="96"/>
      <c r="D30" s="97">
        <v>2212</v>
      </c>
      <c r="E30" s="97">
        <v>6121</v>
      </c>
      <c r="F30" s="124" t="s">
        <v>18</v>
      </c>
      <c r="G30" s="125">
        <v>0</v>
      </c>
      <c r="H30" s="125">
        <v>18.149999999999999</v>
      </c>
      <c r="I30" s="125"/>
      <c r="J30" s="74">
        <f>H30+I30</f>
        <v>18.149999999999999</v>
      </c>
    </row>
    <row r="31" spans="1:10" ht="23.25" thickBot="1" x14ac:dyDescent="0.25">
      <c r="A31" s="189"/>
      <c r="B31" s="112" t="s">
        <v>2</v>
      </c>
      <c r="C31" s="113" t="s">
        <v>0</v>
      </c>
      <c r="D31" s="114" t="s">
        <v>0</v>
      </c>
      <c r="E31" s="114" t="s">
        <v>0</v>
      </c>
      <c r="F31" s="115" t="s">
        <v>40</v>
      </c>
      <c r="G31" s="116">
        <f>G32+G34+G36+G38+G40+G42+G44+G46+G48+G50+G52+G54+G56+G58</f>
        <v>0</v>
      </c>
      <c r="H31" s="116">
        <f>H32+H34+H36+H38+H40+H42+H44+H46+H48+H50+H52+H54+H56+H58</f>
        <v>12574.9</v>
      </c>
      <c r="I31" s="116">
        <f>I32+I34+I36+I38+I40+I42+I44+I46+I48+I50+I52+I54+I56+I58</f>
        <v>0</v>
      </c>
      <c r="J31" s="116">
        <f>J32+J34+J36+J38+J40+J42+J44+J46+J48+J50+J52+J54+J56+J58</f>
        <v>12574.9</v>
      </c>
    </row>
    <row r="32" spans="1:10" ht="16.899999999999999" hidden="1" customHeight="1" x14ac:dyDescent="0.2">
      <c r="A32" s="189"/>
      <c r="B32" s="90" t="s">
        <v>2</v>
      </c>
      <c r="C32" s="91" t="s">
        <v>29</v>
      </c>
      <c r="D32" s="92" t="s">
        <v>0</v>
      </c>
      <c r="E32" s="92" t="s">
        <v>0</v>
      </c>
      <c r="F32" s="117" t="s">
        <v>30</v>
      </c>
      <c r="G32" s="83">
        <f>SUM(G33:G33)</f>
        <v>0</v>
      </c>
      <c r="H32" s="83">
        <f>SUM(H33:H33)</f>
        <v>1854.4559999999999</v>
      </c>
      <c r="I32" s="83">
        <f>SUM(I33:I33)</f>
        <v>0</v>
      </c>
      <c r="J32" s="83">
        <f>SUM(J33:J33)</f>
        <v>1854.4559999999999</v>
      </c>
    </row>
    <row r="33" spans="1:10" ht="16.899999999999999" hidden="1" customHeight="1" thickBot="1" x14ac:dyDescent="0.25">
      <c r="A33" s="189"/>
      <c r="B33" s="118"/>
      <c r="C33" s="127"/>
      <c r="D33" s="120">
        <v>2212</v>
      </c>
      <c r="E33" s="97">
        <v>6121</v>
      </c>
      <c r="F33" s="124" t="s">
        <v>18</v>
      </c>
      <c r="G33" s="123">
        <v>0</v>
      </c>
      <c r="H33" s="88">
        <f>1818.156+36.3</f>
        <v>1854.4559999999999</v>
      </c>
      <c r="I33" s="125"/>
      <c r="J33" s="74">
        <f>H33+I33</f>
        <v>1854.4559999999999</v>
      </c>
    </row>
    <row r="34" spans="1:10" ht="16.899999999999999" hidden="1" customHeight="1" x14ac:dyDescent="0.2">
      <c r="A34" s="189"/>
      <c r="B34" s="90" t="s">
        <v>2</v>
      </c>
      <c r="C34" s="91" t="s">
        <v>33</v>
      </c>
      <c r="D34" s="92" t="s">
        <v>0</v>
      </c>
      <c r="E34" s="92" t="s">
        <v>0</v>
      </c>
      <c r="F34" s="117" t="s">
        <v>34</v>
      </c>
      <c r="G34" s="83">
        <f>SUM(G35:G35)</f>
        <v>0</v>
      </c>
      <c r="H34" s="83">
        <f>SUM(H35:H35)</f>
        <v>983.73</v>
      </c>
      <c r="I34" s="83">
        <f>SUM(I35:I35)</f>
        <v>0</v>
      </c>
      <c r="J34" s="83">
        <f>SUM(J35:J35)</f>
        <v>983.73</v>
      </c>
    </row>
    <row r="35" spans="1:10" ht="16.899999999999999" hidden="1" customHeight="1" thickBot="1" x14ac:dyDescent="0.25">
      <c r="A35" s="189"/>
      <c r="B35" s="95"/>
      <c r="C35" s="96"/>
      <c r="D35" s="97">
        <v>2212</v>
      </c>
      <c r="E35" s="97">
        <v>5169</v>
      </c>
      <c r="F35" s="128" t="s">
        <v>10</v>
      </c>
      <c r="G35" s="125">
        <v>0</v>
      </c>
      <c r="H35" s="88">
        <f>983.73</f>
        <v>983.73</v>
      </c>
      <c r="I35" s="125"/>
      <c r="J35" s="74">
        <f>H35+I35</f>
        <v>983.73</v>
      </c>
    </row>
    <row r="36" spans="1:10" ht="16.899999999999999" hidden="1" customHeight="1" x14ac:dyDescent="0.2">
      <c r="A36" s="189"/>
      <c r="B36" s="90" t="s">
        <v>2</v>
      </c>
      <c r="C36" s="91" t="s">
        <v>43</v>
      </c>
      <c r="D36" s="92" t="s">
        <v>0</v>
      </c>
      <c r="E36" s="92" t="s">
        <v>0</v>
      </c>
      <c r="F36" s="117" t="s">
        <v>44</v>
      </c>
      <c r="G36" s="83">
        <f>SUM(G37:G37)</f>
        <v>0</v>
      </c>
      <c r="H36" s="83">
        <f>SUM(H37:H37)</f>
        <v>29.04</v>
      </c>
      <c r="I36" s="83">
        <f>SUM(I37:I37)</f>
        <v>0</v>
      </c>
      <c r="J36" s="83">
        <f>SUM(J37:J37)</f>
        <v>29.04</v>
      </c>
    </row>
    <row r="37" spans="1:10" ht="16.899999999999999" hidden="1" customHeight="1" thickBot="1" x14ac:dyDescent="0.25">
      <c r="A37" s="189"/>
      <c r="B37" s="118"/>
      <c r="C37" s="129"/>
      <c r="D37" s="101">
        <v>2212</v>
      </c>
      <c r="E37" s="101">
        <v>6121</v>
      </c>
      <c r="F37" s="102" t="s">
        <v>18</v>
      </c>
      <c r="G37" s="123">
        <v>0</v>
      </c>
      <c r="H37" s="88">
        <f>29.04</f>
        <v>29.04</v>
      </c>
      <c r="I37" s="125"/>
      <c r="J37" s="74">
        <f>H37+I37</f>
        <v>29.04</v>
      </c>
    </row>
    <row r="38" spans="1:10" ht="16.899999999999999" hidden="1" customHeight="1" x14ac:dyDescent="0.2">
      <c r="A38" s="189"/>
      <c r="B38" s="90" t="s">
        <v>2</v>
      </c>
      <c r="C38" s="91" t="s">
        <v>45</v>
      </c>
      <c r="D38" s="92" t="s">
        <v>0</v>
      </c>
      <c r="E38" s="92" t="s">
        <v>0</v>
      </c>
      <c r="F38" s="117" t="s">
        <v>46</v>
      </c>
      <c r="G38" s="83">
        <f>SUM(G39:G39)</f>
        <v>0</v>
      </c>
      <c r="H38" s="83">
        <f>SUM(H39:H39)</f>
        <v>158.374</v>
      </c>
      <c r="I38" s="83">
        <f>SUM(I39:I39)</f>
        <v>0</v>
      </c>
      <c r="J38" s="83">
        <f>SUM(J39:J39)</f>
        <v>158.374</v>
      </c>
    </row>
    <row r="39" spans="1:10" ht="16.899999999999999" hidden="1" customHeight="1" thickBot="1" x14ac:dyDescent="0.25">
      <c r="A39" s="189"/>
      <c r="B39" s="118"/>
      <c r="C39" s="127"/>
      <c r="D39" s="120">
        <v>2212</v>
      </c>
      <c r="E39" s="101">
        <v>6121</v>
      </c>
      <c r="F39" s="102" t="s">
        <v>18</v>
      </c>
      <c r="G39" s="123">
        <v>0</v>
      </c>
      <c r="H39" s="88">
        <f>158.374</f>
        <v>158.374</v>
      </c>
      <c r="I39" s="125"/>
      <c r="J39" s="74">
        <f>H39+I39</f>
        <v>158.374</v>
      </c>
    </row>
    <row r="40" spans="1:10" ht="16.899999999999999" hidden="1" customHeight="1" x14ac:dyDescent="0.2">
      <c r="A40" s="189"/>
      <c r="B40" s="90" t="s">
        <v>2</v>
      </c>
      <c r="C40" s="91" t="s">
        <v>47</v>
      </c>
      <c r="D40" s="92" t="s">
        <v>0</v>
      </c>
      <c r="E40" s="92" t="s">
        <v>0</v>
      </c>
      <c r="F40" s="117" t="s">
        <v>48</v>
      </c>
      <c r="G40" s="83">
        <f>SUM(G41:G41)</f>
        <v>0</v>
      </c>
      <c r="H40" s="83">
        <f>SUM(H41:H41)</f>
        <v>3679.9070000000002</v>
      </c>
      <c r="I40" s="83">
        <f>SUM(I41:I41)</f>
        <v>0</v>
      </c>
      <c r="J40" s="83">
        <f>SUM(J41:J41)</f>
        <v>3679.9070000000002</v>
      </c>
    </row>
    <row r="41" spans="1:10" ht="16.899999999999999" hidden="1" customHeight="1" thickBot="1" x14ac:dyDescent="0.25">
      <c r="A41" s="189"/>
      <c r="B41" s="95"/>
      <c r="C41" s="96"/>
      <c r="D41" s="97">
        <v>2212</v>
      </c>
      <c r="E41" s="97">
        <v>6121</v>
      </c>
      <c r="F41" s="124" t="s">
        <v>18</v>
      </c>
      <c r="G41" s="125">
        <v>0</v>
      </c>
      <c r="H41" s="88">
        <f>3595.822+53.9+30.185</f>
        <v>3679.9070000000002</v>
      </c>
      <c r="I41" s="125"/>
      <c r="J41" s="74">
        <f>H41+I41</f>
        <v>3679.9070000000002</v>
      </c>
    </row>
    <row r="42" spans="1:10" ht="16.899999999999999" hidden="1" customHeight="1" x14ac:dyDescent="0.2">
      <c r="A42" s="189"/>
      <c r="B42" s="90" t="s">
        <v>2</v>
      </c>
      <c r="C42" s="91" t="s">
        <v>49</v>
      </c>
      <c r="D42" s="92" t="s">
        <v>0</v>
      </c>
      <c r="E42" s="92" t="s">
        <v>0</v>
      </c>
      <c r="F42" s="117" t="s">
        <v>50</v>
      </c>
      <c r="G42" s="83">
        <f>SUM(G43:G43)</f>
        <v>0</v>
      </c>
      <c r="H42" s="83">
        <f>SUM(H43:H43)</f>
        <v>30.613</v>
      </c>
      <c r="I42" s="83">
        <f>SUM(I43:I43)</f>
        <v>0</v>
      </c>
      <c r="J42" s="83">
        <f>SUM(J43:J43)</f>
        <v>30.613</v>
      </c>
    </row>
    <row r="43" spans="1:10" ht="16.899999999999999" hidden="1" customHeight="1" thickBot="1" x14ac:dyDescent="0.25">
      <c r="A43" s="189"/>
      <c r="B43" s="130"/>
      <c r="C43" s="127"/>
      <c r="D43" s="120">
        <v>2212</v>
      </c>
      <c r="E43" s="120">
        <v>6121</v>
      </c>
      <c r="F43" s="131" t="s">
        <v>18</v>
      </c>
      <c r="G43" s="88">
        <v>0</v>
      </c>
      <c r="H43" s="88">
        <f>23.595+7.018</f>
        <v>30.613</v>
      </c>
      <c r="I43" s="125"/>
      <c r="J43" s="74">
        <f>H43+I43</f>
        <v>30.613</v>
      </c>
    </row>
    <row r="44" spans="1:10" ht="16.899999999999999" hidden="1" customHeight="1" x14ac:dyDescent="0.2">
      <c r="A44" s="189"/>
      <c r="B44" s="90" t="s">
        <v>2</v>
      </c>
      <c r="C44" s="91" t="s">
        <v>53</v>
      </c>
      <c r="D44" s="92" t="s">
        <v>0</v>
      </c>
      <c r="E44" s="92" t="s">
        <v>0</v>
      </c>
      <c r="F44" s="117" t="s">
        <v>54</v>
      </c>
      <c r="G44" s="83">
        <f>SUM(G45:G45)</f>
        <v>0</v>
      </c>
      <c r="H44" s="83">
        <f>SUM(H45:H45)</f>
        <v>11.494999999999999</v>
      </c>
      <c r="I44" s="83">
        <f>SUM(I45:I45)</f>
        <v>0</v>
      </c>
      <c r="J44" s="83">
        <f>SUM(J45:J45)</f>
        <v>11.494999999999999</v>
      </c>
    </row>
    <row r="45" spans="1:10" ht="16.899999999999999" hidden="1" customHeight="1" thickBot="1" x14ac:dyDescent="0.25">
      <c r="A45" s="189"/>
      <c r="B45" s="130"/>
      <c r="C45" s="127"/>
      <c r="D45" s="120">
        <v>2212</v>
      </c>
      <c r="E45" s="120">
        <v>5169</v>
      </c>
      <c r="F45" s="132" t="s">
        <v>10</v>
      </c>
      <c r="G45" s="88">
        <v>0</v>
      </c>
      <c r="H45" s="88">
        <f>11.495</f>
        <v>11.494999999999999</v>
      </c>
      <c r="I45" s="125"/>
      <c r="J45" s="74">
        <f>H45+I45</f>
        <v>11.494999999999999</v>
      </c>
    </row>
    <row r="46" spans="1:10" ht="16.899999999999999" hidden="1" customHeight="1" x14ac:dyDescent="0.2">
      <c r="A46" s="189"/>
      <c r="B46" s="90" t="s">
        <v>2</v>
      </c>
      <c r="C46" s="91" t="s">
        <v>55</v>
      </c>
      <c r="D46" s="92" t="s">
        <v>0</v>
      </c>
      <c r="E46" s="92" t="s">
        <v>0</v>
      </c>
      <c r="F46" s="117" t="s">
        <v>56</v>
      </c>
      <c r="G46" s="83">
        <f>SUM(G47:G47)</f>
        <v>0</v>
      </c>
      <c r="H46" s="83">
        <f>SUM(H47:H47)</f>
        <v>1043.239</v>
      </c>
      <c r="I46" s="83">
        <f>SUM(I47:I47)</f>
        <v>0</v>
      </c>
      <c r="J46" s="83">
        <f>SUM(J47:J47)</f>
        <v>1043.239</v>
      </c>
    </row>
    <row r="47" spans="1:10" ht="16.899999999999999" hidden="1" customHeight="1" thickBot="1" x14ac:dyDescent="0.25">
      <c r="A47" s="189"/>
      <c r="B47" s="130"/>
      <c r="C47" s="127"/>
      <c r="D47" s="120">
        <v>2212</v>
      </c>
      <c r="E47" s="120">
        <v>6121</v>
      </c>
      <c r="F47" s="131" t="s">
        <v>18</v>
      </c>
      <c r="G47" s="88">
        <v>0</v>
      </c>
      <c r="H47" s="88">
        <f>1012.989+30.25</f>
        <v>1043.239</v>
      </c>
      <c r="I47" s="125"/>
      <c r="J47" s="74">
        <f>H47+I47</f>
        <v>1043.239</v>
      </c>
    </row>
    <row r="48" spans="1:10" ht="16.899999999999999" hidden="1" customHeight="1" x14ac:dyDescent="0.2">
      <c r="A48" s="189"/>
      <c r="B48" s="90" t="s">
        <v>2</v>
      </c>
      <c r="C48" s="91" t="s">
        <v>57</v>
      </c>
      <c r="D48" s="92" t="s">
        <v>0</v>
      </c>
      <c r="E48" s="92" t="s">
        <v>0</v>
      </c>
      <c r="F48" s="117" t="s">
        <v>58</v>
      </c>
      <c r="G48" s="83">
        <f>SUM(G49:G49)</f>
        <v>0</v>
      </c>
      <c r="H48" s="83">
        <f>SUM(H49:H49)</f>
        <v>18.149999999999999</v>
      </c>
      <c r="I48" s="83">
        <f>SUM(I49:I49)</f>
        <v>0</v>
      </c>
      <c r="J48" s="83">
        <f>SUM(J49:J49)</f>
        <v>18.149999999999999</v>
      </c>
    </row>
    <row r="49" spans="1:10" ht="16.899999999999999" hidden="1" customHeight="1" thickBot="1" x14ac:dyDescent="0.25">
      <c r="A49" s="189"/>
      <c r="B49" s="130"/>
      <c r="C49" s="127"/>
      <c r="D49" s="120">
        <v>2212</v>
      </c>
      <c r="E49" s="101">
        <v>6121</v>
      </c>
      <c r="F49" s="102" t="s">
        <v>18</v>
      </c>
      <c r="G49" s="88">
        <v>0</v>
      </c>
      <c r="H49" s="88">
        <f>18.15</f>
        <v>18.149999999999999</v>
      </c>
      <c r="I49" s="125"/>
      <c r="J49" s="74">
        <f>H49+I49</f>
        <v>18.149999999999999</v>
      </c>
    </row>
    <row r="50" spans="1:10" ht="16.899999999999999" hidden="1" customHeight="1" x14ac:dyDescent="0.2">
      <c r="A50" s="189"/>
      <c r="B50" s="90" t="s">
        <v>2</v>
      </c>
      <c r="C50" s="91" t="s">
        <v>59</v>
      </c>
      <c r="D50" s="92" t="s">
        <v>0</v>
      </c>
      <c r="E50" s="92" t="s">
        <v>0</v>
      </c>
      <c r="F50" s="117" t="s">
        <v>60</v>
      </c>
      <c r="G50" s="83">
        <f>SUM(G51:G51)</f>
        <v>0</v>
      </c>
      <c r="H50" s="83">
        <f>SUM(H51:H51)</f>
        <v>1430.6280000000002</v>
      </c>
      <c r="I50" s="83">
        <f>SUM(I51:I51)</f>
        <v>0</v>
      </c>
      <c r="J50" s="83">
        <f>SUM(J51:J51)</f>
        <v>1430.6280000000002</v>
      </c>
    </row>
    <row r="51" spans="1:10" ht="16.899999999999999" hidden="1" customHeight="1" thickBot="1" x14ac:dyDescent="0.25">
      <c r="A51" s="189"/>
      <c r="B51" s="130"/>
      <c r="C51" s="127"/>
      <c r="D51" s="120">
        <v>2212</v>
      </c>
      <c r="E51" s="101">
        <v>6121</v>
      </c>
      <c r="F51" s="102" t="s">
        <v>18</v>
      </c>
      <c r="G51" s="88">
        <v>0</v>
      </c>
      <c r="H51" s="88">
        <f>1288.13+111.813+13.2+17.485</f>
        <v>1430.6280000000002</v>
      </c>
      <c r="I51" s="125"/>
      <c r="J51" s="74">
        <f>H51+I51</f>
        <v>1430.6280000000002</v>
      </c>
    </row>
    <row r="52" spans="1:10" ht="16.899999999999999" hidden="1" customHeight="1" x14ac:dyDescent="0.2">
      <c r="A52" s="189"/>
      <c r="B52" s="90" t="s">
        <v>2</v>
      </c>
      <c r="C52" s="91" t="s">
        <v>61</v>
      </c>
      <c r="D52" s="92" t="s">
        <v>0</v>
      </c>
      <c r="E52" s="92" t="s">
        <v>0</v>
      </c>
      <c r="F52" s="117" t="s">
        <v>62</v>
      </c>
      <c r="G52" s="83">
        <f>SUM(G53:G53)</f>
        <v>0</v>
      </c>
      <c r="H52" s="83">
        <f>SUM(H53:H53)</f>
        <v>34.969000000000001</v>
      </c>
      <c r="I52" s="83">
        <f>SUM(I53:I53)</f>
        <v>0</v>
      </c>
      <c r="J52" s="83">
        <f>SUM(J53:J53)</f>
        <v>34.969000000000001</v>
      </c>
    </row>
    <row r="53" spans="1:10" ht="16.899999999999999" hidden="1" customHeight="1" thickBot="1" x14ac:dyDescent="0.25">
      <c r="A53" s="189"/>
      <c r="B53" s="130"/>
      <c r="C53" s="127"/>
      <c r="D53" s="120">
        <v>2212</v>
      </c>
      <c r="E53" s="101">
        <v>6121</v>
      </c>
      <c r="F53" s="102" t="s">
        <v>18</v>
      </c>
      <c r="G53" s="88">
        <v>0</v>
      </c>
      <c r="H53" s="88">
        <f>34.969</f>
        <v>34.969000000000001</v>
      </c>
      <c r="I53" s="125"/>
      <c r="J53" s="74">
        <f>H53+I53</f>
        <v>34.969000000000001</v>
      </c>
    </row>
    <row r="54" spans="1:10" ht="16.899999999999999" hidden="1" customHeight="1" x14ac:dyDescent="0.2">
      <c r="A54" s="189"/>
      <c r="B54" s="90" t="s">
        <v>2</v>
      </c>
      <c r="C54" s="91" t="s">
        <v>63</v>
      </c>
      <c r="D54" s="92" t="s">
        <v>0</v>
      </c>
      <c r="E54" s="92" t="s">
        <v>0</v>
      </c>
      <c r="F54" s="117" t="s">
        <v>64</v>
      </c>
      <c r="G54" s="83">
        <f>SUM(G55:G55)</f>
        <v>0</v>
      </c>
      <c r="H54" s="83">
        <f>SUM(H55:H55)</f>
        <v>19.36</v>
      </c>
      <c r="I54" s="83">
        <f>SUM(I55:I55)</f>
        <v>0</v>
      </c>
      <c r="J54" s="83">
        <f>SUM(J55:J55)</f>
        <v>19.36</v>
      </c>
    </row>
    <row r="55" spans="1:10" ht="16.899999999999999" hidden="1" customHeight="1" thickBot="1" x14ac:dyDescent="0.25">
      <c r="A55" s="189"/>
      <c r="B55" s="130"/>
      <c r="C55" s="127"/>
      <c r="D55" s="120">
        <v>2212</v>
      </c>
      <c r="E55" s="120">
        <v>6121</v>
      </c>
      <c r="F55" s="131" t="s">
        <v>18</v>
      </c>
      <c r="G55" s="88">
        <v>0</v>
      </c>
      <c r="H55" s="88">
        <f>19.36</f>
        <v>19.36</v>
      </c>
      <c r="I55" s="125"/>
      <c r="J55" s="74">
        <f>H55+I55</f>
        <v>19.36</v>
      </c>
    </row>
    <row r="56" spans="1:10" ht="16.899999999999999" hidden="1" customHeight="1" x14ac:dyDescent="0.2">
      <c r="A56" s="189"/>
      <c r="B56" s="90" t="s">
        <v>2</v>
      </c>
      <c r="C56" s="91" t="s">
        <v>65</v>
      </c>
      <c r="D56" s="92" t="s">
        <v>0</v>
      </c>
      <c r="E56" s="92" t="s">
        <v>0</v>
      </c>
      <c r="F56" s="117" t="s">
        <v>66</v>
      </c>
      <c r="G56" s="83">
        <f>SUM(G57:G57)</f>
        <v>0</v>
      </c>
      <c r="H56" s="83">
        <f>SUM(H57:H57)</f>
        <v>53.150999999999996</v>
      </c>
      <c r="I56" s="83">
        <f>SUM(I57:I57)</f>
        <v>0</v>
      </c>
      <c r="J56" s="83">
        <f>SUM(J57:J57)</f>
        <v>53.150999999999996</v>
      </c>
    </row>
    <row r="57" spans="1:10" ht="16.899999999999999" hidden="1" customHeight="1" thickBot="1" x14ac:dyDescent="0.25">
      <c r="A57" s="189"/>
      <c r="B57" s="130"/>
      <c r="C57" s="127"/>
      <c r="D57" s="120">
        <v>2212</v>
      </c>
      <c r="E57" s="101">
        <v>6121</v>
      </c>
      <c r="F57" s="102" t="s">
        <v>18</v>
      </c>
      <c r="G57" s="88">
        <v>0</v>
      </c>
      <c r="H57" s="88">
        <f>28.783+24.368</f>
        <v>53.150999999999996</v>
      </c>
      <c r="I57" s="125"/>
      <c r="J57" s="74">
        <f>H57+I57</f>
        <v>53.150999999999996</v>
      </c>
    </row>
    <row r="58" spans="1:10" ht="16.899999999999999" hidden="1" customHeight="1" x14ac:dyDescent="0.2">
      <c r="A58" s="189"/>
      <c r="B58" s="90" t="s">
        <v>2</v>
      </c>
      <c r="C58" s="91" t="s">
        <v>67</v>
      </c>
      <c r="D58" s="92" t="s">
        <v>0</v>
      </c>
      <c r="E58" s="92" t="s">
        <v>0</v>
      </c>
      <c r="F58" s="117" t="s">
        <v>68</v>
      </c>
      <c r="G58" s="83">
        <f>SUM(G59:G59)</f>
        <v>0</v>
      </c>
      <c r="H58" s="83">
        <f>SUM(H59:H59)</f>
        <v>3227.788</v>
      </c>
      <c r="I58" s="83">
        <f>SUM(I59:I59)</f>
        <v>0</v>
      </c>
      <c r="J58" s="83">
        <f>SUM(J59:J59)</f>
        <v>3227.788</v>
      </c>
    </row>
    <row r="59" spans="1:10" ht="16.899999999999999" hidden="1" customHeight="1" thickBot="1" x14ac:dyDescent="0.25">
      <c r="A59" s="189"/>
      <c r="B59" s="130"/>
      <c r="C59" s="127"/>
      <c r="D59" s="120">
        <v>2212</v>
      </c>
      <c r="E59" s="101">
        <v>6121</v>
      </c>
      <c r="F59" s="131" t="s">
        <v>73</v>
      </c>
      <c r="G59" s="88">
        <v>0</v>
      </c>
      <c r="H59" s="88">
        <f>3175.288+44.5+8</f>
        <v>3227.788</v>
      </c>
      <c r="I59" s="125"/>
      <c r="J59" s="74">
        <f>H59+I59</f>
        <v>3227.788</v>
      </c>
    </row>
    <row r="60" spans="1:10" ht="23.25" thickBot="1" x14ac:dyDescent="0.25">
      <c r="A60" s="189"/>
      <c r="B60" s="112" t="s">
        <v>2</v>
      </c>
      <c r="C60" s="113" t="s">
        <v>0</v>
      </c>
      <c r="D60" s="114" t="s">
        <v>0</v>
      </c>
      <c r="E60" s="114" t="s">
        <v>0</v>
      </c>
      <c r="F60" s="115" t="s">
        <v>69</v>
      </c>
      <c r="G60" s="116">
        <f>G61+G63+G65+G68+G70+G72+G74+G76+G78+G80+G82+G84+G86+G88+G91+G93+G95+G97+G99+G101+G103+G105+G107+G109+G112+G115+G117+G119+G122+G126</f>
        <v>0</v>
      </c>
      <c r="H60" s="116">
        <f>H61+H63+H65+H68+H70+H72+H74+H76+H78+H80+H82+H84+H86+H88+H91+H93+H95+H97+H99+H101+H103+H105+H107+H109+H112+H115+H117+H119+H122+H126</f>
        <v>129433.40300000001</v>
      </c>
      <c r="I60" s="116">
        <f>I61+I63+I65+I68+I70+I72+I74+I76+I78+I80+I82+I84+I86+I88+I91+I93+I95+I97+I99+I101+I103+I105+I107+I109+I112+I115+I117+I119+I122+I126</f>
        <v>0</v>
      </c>
      <c r="J60" s="116">
        <f>J61+J63+J65+J68+J70+J72+J74+J76+J78+J80+J82+J84+J86+J88+J91+J93+J95+J97+J99+J101+J103+J105+J107+J109+J112+J115+J117+J119+J122+J126</f>
        <v>129433.40300000001</v>
      </c>
    </row>
    <row r="61" spans="1:10" ht="16.899999999999999" hidden="1" customHeight="1" x14ac:dyDescent="0.2">
      <c r="A61" s="189"/>
      <c r="B61" s="90" t="s">
        <v>2</v>
      </c>
      <c r="C61" s="91" t="s">
        <v>24</v>
      </c>
      <c r="D61" s="92" t="s">
        <v>0</v>
      </c>
      <c r="E61" s="92" t="s">
        <v>0</v>
      </c>
      <c r="F61" s="117" t="s">
        <v>25</v>
      </c>
      <c r="G61" s="83">
        <f>SUM(G62:G62)</f>
        <v>0</v>
      </c>
      <c r="H61" s="83">
        <f>SUM(H62:H62)</f>
        <v>2529.85</v>
      </c>
      <c r="I61" s="83">
        <f>SUM(I62:I62)</f>
        <v>0</v>
      </c>
      <c r="J61" s="83">
        <f>SUM(J62:J62)</f>
        <v>2529.85</v>
      </c>
    </row>
    <row r="62" spans="1:10" ht="16.899999999999999" hidden="1" customHeight="1" thickBot="1" x14ac:dyDescent="0.25">
      <c r="A62" s="189"/>
      <c r="B62" s="133"/>
      <c r="C62" s="134"/>
      <c r="D62" s="135">
        <v>2212</v>
      </c>
      <c r="E62" s="135">
        <v>6121</v>
      </c>
      <c r="F62" s="136" t="s">
        <v>73</v>
      </c>
      <c r="G62" s="137">
        <v>0</v>
      </c>
      <c r="H62" s="137">
        <f>2500.95+14.5+14.4</f>
        <v>2529.85</v>
      </c>
      <c r="I62" s="137"/>
      <c r="J62" s="138">
        <f>H62+I62</f>
        <v>2529.85</v>
      </c>
    </row>
    <row r="63" spans="1:10" ht="16.899999999999999" hidden="1" customHeight="1" x14ac:dyDescent="0.2">
      <c r="A63" s="189"/>
      <c r="B63" s="139" t="s">
        <v>2</v>
      </c>
      <c r="C63" s="140" t="s">
        <v>31</v>
      </c>
      <c r="D63" s="141" t="s">
        <v>0</v>
      </c>
      <c r="E63" s="141" t="s">
        <v>0</v>
      </c>
      <c r="F63" s="142" t="s">
        <v>32</v>
      </c>
      <c r="G63" s="143">
        <f>SUM(G64:G64)</f>
        <v>0</v>
      </c>
      <c r="H63" s="143">
        <f>SUM(H64:H64)</f>
        <v>4262.3859999999995</v>
      </c>
      <c r="I63" s="143">
        <f>SUM(I64:I64)</f>
        <v>0</v>
      </c>
      <c r="J63" s="143">
        <f>SUM(J64:J64)</f>
        <v>4262.3859999999995</v>
      </c>
    </row>
    <row r="64" spans="1:10" ht="16.899999999999999" hidden="1" customHeight="1" thickBot="1" x14ac:dyDescent="0.25">
      <c r="A64" s="189"/>
      <c r="B64" s="130"/>
      <c r="C64" s="127"/>
      <c r="D64" s="120">
        <v>2212</v>
      </c>
      <c r="E64" s="97">
        <v>6121</v>
      </c>
      <c r="F64" s="124" t="s">
        <v>18</v>
      </c>
      <c r="G64" s="88">
        <v>0</v>
      </c>
      <c r="H64" s="88">
        <f>4203.786+48.4+10.2</f>
        <v>4262.3859999999995</v>
      </c>
      <c r="I64" s="125"/>
      <c r="J64" s="74">
        <f>H64+I64</f>
        <v>4262.3859999999995</v>
      </c>
    </row>
    <row r="65" spans="1:10" ht="16.899999999999999" hidden="1" customHeight="1" x14ac:dyDescent="0.2">
      <c r="A65" s="189"/>
      <c r="B65" s="90" t="s">
        <v>2</v>
      </c>
      <c r="C65" s="91" t="s">
        <v>35</v>
      </c>
      <c r="D65" s="92" t="s">
        <v>0</v>
      </c>
      <c r="E65" s="92" t="s">
        <v>0</v>
      </c>
      <c r="F65" s="117" t="s">
        <v>36</v>
      </c>
      <c r="G65" s="83">
        <f>SUM(G66:G67)</f>
        <v>0</v>
      </c>
      <c r="H65" s="83">
        <f>SUM(H66:H67)</f>
        <v>22862.83</v>
      </c>
      <c r="I65" s="83">
        <f>SUM(I66:I67)</f>
        <v>0</v>
      </c>
      <c r="J65" s="83">
        <f>SUM(J66:J67)</f>
        <v>22862.83</v>
      </c>
    </row>
    <row r="66" spans="1:10" ht="16.899999999999999" hidden="1" customHeight="1" x14ac:dyDescent="0.2">
      <c r="A66" s="189"/>
      <c r="B66" s="95"/>
      <c r="C66" s="96"/>
      <c r="D66" s="97">
        <v>2212</v>
      </c>
      <c r="E66" s="97">
        <v>6121</v>
      </c>
      <c r="F66" s="124" t="s">
        <v>73</v>
      </c>
      <c r="G66" s="125">
        <v>0</v>
      </c>
      <c r="H66" s="125">
        <f>6785.322+1473.826-725.494+48+11.5</f>
        <v>7593.1540000000014</v>
      </c>
      <c r="I66" s="125"/>
      <c r="J66" s="89">
        <f>H66+I66</f>
        <v>7593.1540000000014</v>
      </c>
    </row>
    <row r="67" spans="1:10" ht="16.899999999999999" hidden="1" customHeight="1" thickBot="1" x14ac:dyDescent="0.25">
      <c r="A67" s="189"/>
      <c r="B67" s="49"/>
      <c r="C67" s="44" t="s">
        <v>71</v>
      </c>
      <c r="D67" s="42">
        <v>2212</v>
      </c>
      <c r="E67" s="42">
        <v>6121</v>
      </c>
      <c r="F67" s="28" t="s">
        <v>18</v>
      </c>
      <c r="G67" s="125">
        <v>0</v>
      </c>
      <c r="H67" s="123">
        <v>15269.675999999999</v>
      </c>
      <c r="I67" s="123"/>
      <c r="J67" s="149">
        <f>H67+I67</f>
        <v>15269.675999999999</v>
      </c>
    </row>
    <row r="68" spans="1:10" ht="16.899999999999999" hidden="1" customHeight="1" x14ac:dyDescent="0.2">
      <c r="A68" s="189"/>
      <c r="B68" s="90" t="s">
        <v>2</v>
      </c>
      <c r="C68" s="91" t="s">
        <v>76</v>
      </c>
      <c r="D68" s="92" t="s">
        <v>0</v>
      </c>
      <c r="E68" s="92" t="s">
        <v>0</v>
      </c>
      <c r="F68" s="117" t="s">
        <v>77</v>
      </c>
      <c r="G68" s="83">
        <f>G69</f>
        <v>0</v>
      </c>
      <c r="H68" s="83">
        <f>SUM(H69:H69)</f>
        <v>60.5</v>
      </c>
      <c r="I68" s="83">
        <f>SUM(I69:I69)</f>
        <v>0</v>
      </c>
      <c r="J68" s="83">
        <f>SUM(J69:J69)</f>
        <v>60.5</v>
      </c>
    </row>
    <row r="69" spans="1:10" ht="16.899999999999999" hidden="1" customHeight="1" thickBot="1" x14ac:dyDescent="0.25">
      <c r="A69" s="189"/>
      <c r="B69" s="130"/>
      <c r="C69" s="127"/>
      <c r="D69" s="120">
        <v>2212</v>
      </c>
      <c r="E69" s="120">
        <v>6121</v>
      </c>
      <c r="F69" s="131" t="s">
        <v>73</v>
      </c>
      <c r="G69" s="88">
        <v>0</v>
      </c>
      <c r="H69" s="88">
        <f>60.5</f>
        <v>60.5</v>
      </c>
      <c r="I69" s="125"/>
      <c r="J69" s="74">
        <f>H69+I69</f>
        <v>60.5</v>
      </c>
    </row>
    <row r="70" spans="1:10" ht="16.899999999999999" hidden="1" customHeight="1" x14ac:dyDescent="0.2">
      <c r="A70" s="189"/>
      <c r="B70" s="90" t="s">
        <v>2</v>
      </c>
      <c r="C70" s="91" t="s">
        <v>78</v>
      </c>
      <c r="D70" s="92" t="s">
        <v>0</v>
      </c>
      <c r="E70" s="92" t="s">
        <v>0</v>
      </c>
      <c r="F70" s="117" t="s">
        <v>79</v>
      </c>
      <c r="G70" s="83">
        <f>SUM(G71:G71)</f>
        <v>0</v>
      </c>
      <c r="H70" s="83">
        <f>SUM(H71:H71)</f>
        <v>28.783000000000001</v>
      </c>
      <c r="I70" s="83">
        <f>SUM(I71:I71)</f>
        <v>0</v>
      </c>
      <c r="J70" s="83">
        <f>SUM(J71:J71)</f>
        <v>28.783000000000001</v>
      </c>
    </row>
    <row r="71" spans="1:10" ht="16.899999999999999" hidden="1" customHeight="1" thickBot="1" x14ac:dyDescent="0.25">
      <c r="A71" s="189"/>
      <c r="B71" s="130"/>
      <c r="C71" s="127"/>
      <c r="D71" s="120">
        <v>2212</v>
      </c>
      <c r="E71" s="101">
        <v>6121</v>
      </c>
      <c r="F71" s="102" t="s">
        <v>18</v>
      </c>
      <c r="G71" s="88">
        <v>0</v>
      </c>
      <c r="H71" s="88">
        <f>28.783</f>
        <v>28.783000000000001</v>
      </c>
      <c r="I71" s="125"/>
      <c r="J71" s="74">
        <f>H71+I71</f>
        <v>28.783000000000001</v>
      </c>
    </row>
    <row r="72" spans="1:10" ht="16.899999999999999" hidden="1" customHeight="1" x14ac:dyDescent="0.2">
      <c r="A72" s="189"/>
      <c r="B72" s="90" t="s">
        <v>2</v>
      </c>
      <c r="C72" s="91" t="s">
        <v>80</v>
      </c>
      <c r="D72" s="92" t="s">
        <v>0</v>
      </c>
      <c r="E72" s="92" t="s">
        <v>0</v>
      </c>
      <c r="F72" s="117" t="s">
        <v>26</v>
      </c>
      <c r="G72" s="83">
        <f>SUM(G73:G73)</f>
        <v>0</v>
      </c>
      <c r="H72" s="83">
        <f>SUM(H73:H73)</f>
        <v>8808.1769999999997</v>
      </c>
      <c r="I72" s="83">
        <f>SUM(I73:I73)</f>
        <v>0</v>
      </c>
      <c r="J72" s="83">
        <f>SUM(J73:J73)</f>
        <v>8808.1769999999997</v>
      </c>
    </row>
    <row r="73" spans="1:10" ht="16.899999999999999" hidden="1" customHeight="1" thickBot="1" x14ac:dyDescent="0.25">
      <c r="A73" s="189"/>
      <c r="B73" s="133"/>
      <c r="C73" s="134"/>
      <c r="D73" s="135">
        <v>2212</v>
      </c>
      <c r="E73" s="135">
        <v>6121</v>
      </c>
      <c r="F73" s="136" t="s">
        <v>18</v>
      </c>
      <c r="G73" s="137">
        <v>0</v>
      </c>
      <c r="H73" s="137">
        <f>7516.431+1403.564+49.403-198.471+21.25+16</f>
        <v>8808.1769999999997</v>
      </c>
      <c r="I73" s="137"/>
      <c r="J73" s="138">
        <f>H73+I73</f>
        <v>8808.1769999999997</v>
      </c>
    </row>
    <row r="74" spans="1:10" ht="16.899999999999999" hidden="1" customHeight="1" x14ac:dyDescent="0.2">
      <c r="A74" s="189"/>
      <c r="B74" s="139" t="s">
        <v>2</v>
      </c>
      <c r="C74" s="140" t="s">
        <v>81</v>
      </c>
      <c r="D74" s="141" t="s">
        <v>0</v>
      </c>
      <c r="E74" s="141" t="s">
        <v>0</v>
      </c>
      <c r="F74" s="142" t="s">
        <v>82</v>
      </c>
      <c r="G74" s="143">
        <f>SUM(G75:G75)</f>
        <v>0</v>
      </c>
      <c r="H74" s="143">
        <f>SUM(H75:H75)</f>
        <v>10.25</v>
      </c>
      <c r="I74" s="143">
        <f>SUM(I75:I75)</f>
        <v>0</v>
      </c>
      <c r="J74" s="143">
        <f>SUM(J75:J75)</f>
        <v>10.25</v>
      </c>
    </row>
    <row r="75" spans="1:10" ht="16.899999999999999" hidden="1" customHeight="1" thickBot="1" x14ac:dyDescent="0.25">
      <c r="A75" s="189"/>
      <c r="B75" s="130"/>
      <c r="C75" s="127"/>
      <c r="D75" s="120">
        <v>2212</v>
      </c>
      <c r="E75" s="120">
        <v>6121</v>
      </c>
      <c r="F75" s="131" t="s">
        <v>18</v>
      </c>
      <c r="G75" s="88">
        <v>0</v>
      </c>
      <c r="H75" s="88">
        <f>10.25</f>
        <v>10.25</v>
      </c>
      <c r="I75" s="88"/>
      <c r="J75" s="74">
        <f>H75+I75</f>
        <v>10.25</v>
      </c>
    </row>
    <row r="76" spans="1:10" ht="16.899999999999999" hidden="1" customHeight="1" x14ac:dyDescent="0.2">
      <c r="A76" s="189"/>
      <c r="B76" s="90" t="s">
        <v>2</v>
      </c>
      <c r="C76" s="91" t="s">
        <v>83</v>
      </c>
      <c r="D76" s="92" t="s">
        <v>0</v>
      </c>
      <c r="E76" s="92" t="s">
        <v>0</v>
      </c>
      <c r="F76" s="117" t="s">
        <v>84</v>
      </c>
      <c r="G76" s="83">
        <f>SUM(G77:G77)</f>
        <v>0</v>
      </c>
      <c r="H76" s="83">
        <f>SUM(H77:H77)</f>
        <v>73.66</v>
      </c>
      <c r="I76" s="83">
        <f>SUM(I77:I77)</f>
        <v>0</v>
      </c>
      <c r="J76" s="83">
        <f>SUM(J77:J77)</f>
        <v>73.66</v>
      </c>
    </row>
    <row r="77" spans="1:10" ht="16.899999999999999" hidden="1" customHeight="1" thickBot="1" x14ac:dyDescent="0.25">
      <c r="A77" s="189"/>
      <c r="B77" s="130"/>
      <c r="C77" s="127"/>
      <c r="D77" s="120">
        <v>2212</v>
      </c>
      <c r="E77" s="120">
        <v>6121</v>
      </c>
      <c r="F77" s="131" t="s">
        <v>18</v>
      </c>
      <c r="G77" s="88">
        <v>0</v>
      </c>
      <c r="H77" s="88">
        <f>55.66+18</f>
        <v>73.66</v>
      </c>
      <c r="I77" s="88"/>
      <c r="J77" s="74">
        <f>H77+I77</f>
        <v>73.66</v>
      </c>
    </row>
    <row r="78" spans="1:10" ht="16.899999999999999" hidden="1" customHeight="1" x14ac:dyDescent="0.2">
      <c r="A78" s="189"/>
      <c r="B78" s="90" t="s">
        <v>2</v>
      </c>
      <c r="C78" s="91" t="s">
        <v>85</v>
      </c>
      <c r="D78" s="92" t="s">
        <v>0</v>
      </c>
      <c r="E78" s="92" t="s">
        <v>0</v>
      </c>
      <c r="F78" s="117" t="s">
        <v>86</v>
      </c>
      <c r="G78" s="83">
        <f>SUM(G79:G79)</f>
        <v>0</v>
      </c>
      <c r="H78" s="83">
        <f>SUM(H79:H79)</f>
        <v>24.2</v>
      </c>
      <c r="I78" s="83">
        <f>SUM(I79:I79)</f>
        <v>0</v>
      </c>
      <c r="J78" s="83">
        <f>SUM(J79:J79)</f>
        <v>24.2</v>
      </c>
    </row>
    <row r="79" spans="1:10" ht="16.899999999999999" hidden="1" customHeight="1" thickBot="1" x14ac:dyDescent="0.25">
      <c r="A79" s="189"/>
      <c r="B79" s="130"/>
      <c r="C79" s="127"/>
      <c r="D79" s="120">
        <v>2212</v>
      </c>
      <c r="E79" s="120">
        <v>6121</v>
      </c>
      <c r="F79" s="131" t="s">
        <v>18</v>
      </c>
      <c r="G79" s="88">
        <v>0</v>
      </c>
      <c r="H79" s="88">
        <f>24.2</f>
        <v>24.2</v>
      </c>
      <c r="I79" s="88"/>
      <c r="J79" s="74">
        <f>H79+I79</f>
        <v>24.2</v>
      </c>
    </row>
    <row r="80" spans="1:10" ht="16.899999999999999" hidden="1" customHeight="1" x14ac:dyDescent="0.2">
      <c r="A80" s="189"/>
      <c r="B80" s="90" t="s">
        <v>2</v>
      </c>
      <c r="C80" s="91" t="s">
        <v>87</v>
      </c>
      <c r="D80" s="92" t="s">
        <v>0</v>
      </c>
      <c r="E80" s="92" t="s">
        <v>0</v>
      </c>
      <c r="F80" s="117" t="s">
        <v>88</v>
      </c>
      <c r="G80" s="83">
        <f>SUM(G81:G81)</f>
        <v>0</v>
      </c>
      <c r="H80" s="83">
        <f>SUM(H81:H81)</f>
        <v>21959.546999999999</v>
      </c>
      <c r="I80" s="83">
        <f>SUM(I81:I81)</f>
        <v>0</v>
      </c>
      <c r="J80" s="83">
        <f>SUM(J81:J81)</f>
        <v>21959.546999999999</v>
      </c>
    </row>
    <row r="81" spans="1:10" ht="16.899999999999999" hidden="1" customHeight="1" thickBot="1" x14ac:dyDescent="0.25">
      <c r="A81" s="189"/>
      <c r="B81" s="130"/>
      <c r="C81" s="127"/>
      <c r="D81" s="120">
        <v>2212</v>
      </c>
      <c r="E81" s="101">
        <v>6121</v>
      </c>
      <c r="F81" s="102" t="s">
        <v>18</v>
      </c>
      <c r="G81" s="88">
        <v>0</v>
      </c>
      <c r="H81" s="88">
        <f>17800.082+4061.365+72.6+25.5</f>
        <v>21959.546999999999</v>
      </c>
      <c r="I81" s="125"/>
      <c r="J81" s="74">
        <f>H81+I81</f>
        <v>21959.546999999999</v>
      </c>
    </row>
    <row r="82" spans="1:10" ht="16.899999999999999" hidden="1" customHeight="1" x14ac:dyDescent="0.2">
      <c r="A82" s="189"/>
      <c r="B82" s="90" t="s">
        <v>2</v>
      </c>
      <c r="C82" s="91" t="s">
        <v>89</v>
      </c>
      <c r="D82" s="92" t="s">
        <v>0</v>
      </c>
      <c r="E82" s="92" t="s">
        <v>0</v>
      </c>
      <c r="F82" s="117" t="s">
        <v>90</v>
      </c>
      <c r="G82" s="83">
        <f>SUM(G83:G83)</f>
        <v>0</v>
      </c>
      <c r="H82" s="83">
        <f>SUM(H83:H83)</f>
        <v>2118.4959999999996</v>
      </c>
      <c r="I82" s="83">
        <f>SUM(I83:I83)</f>
        <v>0</v>
      </c>
      <c r="J82" s="83">
        <f>SUM(J83:J83)</f>
        <v>2118.4959999999996</v>
      </c>
    </row>
    <row r="83" spans="1:10" ht="16.899999999999999" hidden="1" customHeight="1" thickBot="1" x14ac:dyDescent="0.25">
      <c r="A83" s="189"/>
      <c r="B83" s="130"/>
      <c r="C83" s="127"/>
      <c r="D83" s="120">
        <v>2212</v>
      </c>
      <c r="E83" s="101">
        <v>6121</v>
      </c>
      <c r="F83" s="102" t="s">
        <v>18</v>
      </c>
      <c r="G83" s="88">
        <v>0</v>
      </c>
      <c r="H83" s="88">
        <f>2037.426+58.08+22.99</f>
        <v>2118.4959999999996</v>
      </c>
      <c r="I83" s="125"/>
      <c r="J83" s="74">
        <f>H83+I83</f>
        <v>2118.4959999999996</v>
      </c>
    </row>
    <row r="84" spans="1:10" ht="16.899999999999999" hidden="1" customHeight="1" x14ac:dyDescent="0.2">
      <c r="A84" s="189"/>
      <c r="B84" s="90" t="s">
        <v>2</v>
      </c>
      <c r="C84" s="91" t="s">
        <v>91</v>
      </c>
      <c r="D84" s="92" t="s">
        <v>0</v>
      </c>
      <c r="E84" s="92" t="s">
        <v>0</v>
      </c>
      <c r="F84" s="117" t="s">
        <v>92</v>
      </c>
      <c r="G84" s="83">
        <f>SUM(G85:G85)</f>
        <v>0</v>
      </c>
      <c r="H84" s="83">
        <f>SUM(H85:H85)</f>
        <v>44.75</v>
      </c>
      <c r="I84" s="83">
        <f>SUM(I85:I85)</f>
        <v>0</v>
      </c>
      <c r="J84" s="83">
        <f>SUM(J85:J85)</f>
        <v>44.75</v>
      </c>
    </row>
    <row r="85" spans="1:10" ht="16.899999999999999" hidden="1" customHeight="1" thickBot="1" x14ac:dyDescent="0.25">
      <c r="A85" s="189"/>
      <c r="B85" s="95"/>
      <c r="C85" s="96"/>
      <c r="D85" s="97">
        <v>2212</v>
      </c>
      <c r="E85" s="97">
        <v>5169</v>
      </c>
      <c r="F85" s="145" t="s">
        <v>10</v>
      </c>
      <c r="G85" s="125">
        <v>0</v>
      </c>
      <c r="H85" s="88">
        <f>30.25+14.5</f>
        <v>44.75</v>
      </c>
      <c r="I85" s="125"/>
      <c r="J85" s="74">
        <f>H85+I85</f>
        <v>44.75</v>
      </c>
    </row>
    <row r="86" spans="1:10" ht="16.899999999999999" hidden="1" customHeight="1" x14ac:dyDescent="0.2">
      <c r="A86" s="189"/>
      <c r="B86" s="90" t="s">
        <v>2</v>
      </c>
      <c r="C86" s="91" t="s">
        <v>93</v>
      </c>
      <c r="D86" s="92" t="s">
        <v>0</v>
      </c>
      <c r="E86" s="92" t="s">
        <v>0</v>
      </c>
      <c r="F86" s="117" t="s">
        <v>94</v>
      </c>
      <c r="G86" s="83">
        <f>SUM(G87:G87)</f>
        <v>0</v>
      </c>
      <c r="H86" s="83">
        <f>SUM(H87:H87)</f>
        <v>39.700000000000003</v>
      </c>
      <c r="I86" s="83">
        <f>SUM(I87:I87)</f>
        <v>0</v>
      </c>
      <c r="J86" s="83">
        <f>SUM(J87:J87)</f>
        <v>39.700000000000003</v>
      </c>
    </row>
    <row r="87" spans="1:10" ht="16.899999999999999" hidden="1" customHeight="1" thickBot="1" x14ac:dyDescent="0.25">
      <c r="A87" s="189"/>
      <c r="B87" s="95"/>
      <c r="C87" s="96"/>
      <c r="D87" s="97">
        <v>2212</v>
      </c>
      <c r="E87" s="97">
        <v>5169</v>
      </c>
      <c r="F87" s="145" t="s">
        <v>10</v>
      </c>
      <c r="G87" s="125">
        <v>0</v>
      </c>
      <c r="H87" s="88">
        <f>32.7+7</f>
        <v>39.700000000000003</v>
      </c>
      <c r="I87" s="125"/>
      <c r="J87" s="74">
        <f>H87+I87</f>
        <v>39.700000000000003</v>
      </c>
    </row>
    <row r="88" spans="1:10" ht="16.899999999999999" hidden="1" customHeight="1" x14ac:dyDescent="0.2">
      <c r="A88" s="189"/>
      <c r="B88" s="90" t="s">
        <v>2</v>
      </c>
      <c r="C88" s="91" t="s">
        <v>95</v>
      </c>
      <c r="D88" s="92" t="s">
        <v>0</v>
      </c>
      <c r="E88" s="92" t="s">
        <v>0</v>
      </c>
      <c r="F88" s="117" t="s">
        <v>96</v>
      </c>
      <c r="G88" s="83">
        <f>SUM(G89:G90)</f>
        <v>0</v>
      </c>
      <c r="H88" s="83">
        <f>SUM(H89:H90)</f>
        <v>11332.59</v>
      </c>
      <c r="I88" s="83">
        <f>SUM(I89:I90)</f>
        <v>0</v>
      </c>
      <c r="J88" s="83">
        <f>SUM(J89:J90)</f>
        <v>11332.59</v>
      </c>
    </row>
    <row r="89" spans="1:10" ht="16.899999999999999" hidden="1" customHeight="1" x14ac:dyDescent="0.2">
      <c r="A89" s="189"/>
      <c r="B89" s="154"/>
      <c r="C89" s="155"/>
      <c r="D89" s="156">
        <v>2212</v>
      </c>
      <c r="E89" s="156">
        <v>6121</v>
      </c>
      <c r="F89" s="158" t="s">
        <v>18</v>
      </c>
      <c r="G89" s="159">
        <v>0</v>
      </c>
      <c r="H89" s="159">
        <f>11305.508-11305.508-31.478+2000+43.56+15</f>
        <v>2027.0819999999999</v>
      </c>
      <c r="I89" s="159"/>
      <c r="J89" s="160">
        <f>H89+I89</f>
        <v>2027.0819999999999</v>
      </c>
    </row>
    <row r="90" spans="1:10" ht="16.899999999999999" hidden="1" customHeight="1" thickBot="1" x14ac:dyDescent="0.25">
      <c r="A90" s="189"/>
      <c r="B90" s="49"/>
      <c r="C90" s="44" t="s">
        <v>71</v>
      </c>
      <c r="D90" s="42">
        <v>2212</v>
      </c>
      <c r="E90" s="42">
        <v>6121</v>
      </c>
      <c r="F90" s="28" t="s">
        <v>18</v>
      </c>
      <c r="G90" s="162">
        <v>0</v>
      </c>
      <c r="H90" s="123">
        <f>11305.508-2000</f>
        <v>9305.5079999999998</v>
      </c>
      <c r="I90" s="123"/>
      <c r="J90" s="149">
        <f>H90+I90</f>
        <v>9305.5079999999998</v>
      </c>
    </row>
    <row r="91" spans="1:10" ht="16.899999999999999" hidden="1" customHeight="1" x14ac:dyDescent="0.2">
      <c r="A91" s="189"/>
      <c r="B91" s="90" t="s">
        <v>2</v>
      </c>
      <c r="C91" s="91" t="s">
        <v>97</v>
      </c>
      <c r="D91" s="92" t="s">
        <v>0</v>
      </c>
      <c r="E91" s="92" t="s">
        <v>0</v>
      </c>
      <c r="F91" s="117" t="s">
        <v>98</v>
      </c>
      <c r="G91" s="83">
        <f>SUM(G92:G92)</f>
        <v>0</v>
      </c>
      <c r="H91" s="83">
        <f>SUM(H92:H92)</f>
        <v>41.936999999999998</v>
      </c>
      <c r="I91" s="83">
        <f>SUM(I92:I92)</f>
        <v>0</v>
      </c>
      <c r="J91" s="83">
        <f>SUM(J92:J92)</f>
        <v>41.936999999999998</v>
      </c>
    </row>
    <row r="92" spans="1:10" ht="16.899999999999999" hidden="1" customHeight="1" thickBot="1" x14ac:dyDescent="0.25">
      <c r="A92" s="189"/>
      <c r="B92" s="95"/>
      <c r="C92" s="96"/>
      <c r="D92" s="97">
        <v>2212</v>
      </c>
      <c r="E92" s="121">
        <v>6121</v>
      </c>
      <c r="F92" s="122" t="s">
        <v>18</v>
      </c>
      <c r="G92" s="125">
        <v>0</v>
      </c>
      <c r="H92" s="88">
        <f>35.937+6</f>
        <v>41.936999999999998</v>
      </c>
      <c r="I92" s="125"/>
      <c r="J92" s="74">
        <f>H92+I92</f>
        <v>41.936999999999998</v>
      </c>
    </row>
    <row r="93" spans="1:10" ht="16.899999999999999" hidden="1" customHeight="1" x14ac:dyDescent="0.2">
      <c r="A93" s="189"/>
      <c r="B93" s="90" t="s">
        <v>2</v>
      </c>
      <c r="C93" s="91" t="s">
        <v>99</v>
      </c>
      <c r="D93" s="92" t="s">
        <v>0</v>
      </c>
      <c r="E93" s="92" t="s">
        <v>0</v>
      </c>
      <c r="F93" s="117" t="s">
        <v>100</v>
      </c>
      <c r="G93" s="83">
        <f>SUM(G94:G94)</f>
        <v>0</v>
      </c>
      <c r="H93" s="83">
        <f>SUM(H94:H94)</f>
        <v>1886.2850000000001</v>
      </c>
      <c r="I93" s="83">
        <f>SUM(I94:I94)</f>
        <v>0</v>
      </c>
      <c r="J93" s="83">
        <f>SUM(J94:J94)</f>
        <v>1886.2850000000001</v>
      </c>
    </row>
    <row r="94" spans="1:10" ht="16.899999999999999" hidden="1" customHeight="1" thickBot="1" x14ac:dyDescent="0.25">
      <c r="A94" s="189"/>
      <c r="B94" s="130"/>
      <c r="C94" s="127"/>
      <c r="D94" s="120">
        <v>2212</v>
      </c>
      <c r="E94" s="101">
        <v>6121</v>
      </c>
      <c r="F94" s="102" t="s">
        <v>18</v>
      </c>
      <c r="G94" s="88">
        <v>0</v>
      </c>
      <c r="H94" s="88">
        <f>1837.131-2.783+35.937+16</f>
        <v>1886.2850000000001</v>
      </c>
      <c r="I94" s="125"/>
      <c r="J94" s="74">
        <f>H94+I94</f>
        <v>1886.2850000000001</v>
      </c>
    </row>
    <row r="95" spans="1:10" ht="16.899999999999999" hidden="1" customHeight="1" x14ac:dyDescent="0.2">
      <c r="A95" s="189"/>
      <c r="B95" s="90" t="s">
        <v>2</v>
      </c>
      <c r="C95" s="91" t="s">
        <v>101</v>
      </c>
      <c r="D95" s="92" t="s">
        <v>0</v>
      </c>
      <c r="E95" s="92" t="s">
        <v>0</v>
      </c>
      <c r="F95" s="117" t="s">
        <v>102</v>
      </c>
      <c r="G95" s="83">
        <f>SUM(G96:G96)</f>
        <v>0</v>
      </c>
      <c r="H95" s="83">
        <f>SUM(H96:H96)</f>
        <v>13.5</v>
      </c>
      <c r="I95" s="83">
        <f>SUM(I96:I96)</f>
        <v>0</v>
      </c>
      <c r="J95" s="83">
        <f>SUM(J96:J96)</f>
        <v>13.5</v>
      </c>
    </row>
    <row r="96" spans="1:10" ht="16.899999999999999" hidden="1" customHeight="1" thickBot="1" x14ac:dyDescent="0.25">
      <c r="A96" s="189"/>
      <c r="B96" s="130"/>
      <c r="C96" s="127"/>
      <c r="D96" s="97">
        <v>2212</v>
      </c>
      <c r="E96" s="101">
        <v>6121</v>
      </c>
      <c r="F96" s="102" t="s">
        <v>18</v>
      </c>
      <c r="G96" s="88">
        <v>0</v>
      </c>
      <c r="H96" s="88">
        <f>13.5</f>
        <v>13.5</v>
      </c>
      <c r="I96" s="125"/>
      <c r="J96" s="74">
        <f>H96+I96</f>
        <v>13.5</v>
      </c>
    </row>
    <row r="97" spans="1:10" ht="16.899999999999999" hidden="1" customHeight="1" x14ac:dyDescent="0.2">
      <c r="A97" s="189"/>
      <c r="B97" s="90" t="s">
        <v>2</v>
      </c>
      <c r="C97" s="91" t="s">
        <v>103</v>
      </c>
      <c r="D97" s="92" t="s">
        <v>0</v>
      </c>
      <c r="E97" s="92" t="s">
        <v>0</v>
      </c>
      <c r="F97" s="117" t="s">
        <v>104</v>
      </c>
      <c r="G97" s="83">
        <f>SUM(G98:G98)</f>
        <v>0</v>
      </c>
      <c r="H97" s="83">
        <f>SUM(H98:H98)</f>
        <v>24.125</v>
      </c>
      <c r="I97" s="83">
        <f>SUM(I98:I98)</f>
        <v>0</v>
      </c>
      <c r="J97" s="83">
        <f>SUM(J98:J98)</f>
        <v>24.125</v>
      </c>
    </row>
    <row r="98" spans="1:10" ht="16.899999999999999" hidden="1" customHeight="1" thickBot="1" x14ac:dyDescent="0.25">
      <c r="A98" s="189"/>
      <c r="B98" s="95"/>
      <c r="C98" s="96"/>
      <c r="D98" s="97">
        <v>2212</v>
      </c>
      <c r="E98" s="97">
        <v>5169</v>
      </c>
      <c r="F98" s="145" t="s">
        <v>10</v>
      </c>
      <c r="G98" s="125">
        <v>0</v>
      </c>
      <c r="H98" s="88">
        <f>15.125+9</f>
        <v>24.125</v>
      </c>
      <c r="I98" s="125"/>
      <c r="J98" s="74">
        <f>H98+I98</f>
        <v>24.125</v>
      </c>
    </row>
    <row r="99" spans="1:10" ht="16.899999999999999" hidden="1" customHeight="1" x14ac:dyDescent="0.2">
      <c r="A99" s="189"/>
      <c r="B99" s="90" t="s">
        <v>2</v>
      </c>
      <c r="C99" s="91" t="s">
        <v>105</v>
      </c>
      <c r="D99" s="92" t="s">
        <v>0</v>
      </c>
      <c r="E99" s="92" t="s">
        <v>0</v>
      </c>
      <c r="F99" s="117" t="s">
        <v>106</v>
      </c>
      <c r="G99" s="83">
        <f>SUM(G100:G100)</f>
        <v>0</v>
      </c>
      <c r="H99" s="83">
        <f>SUM(H100:H100)</f>
        <v>41.816000000000003</v>
      </c>
      <c r="I99" s="83">
        <f>SUM(I100:I100)</f>
        <v>0</v>
      </c>
      <c r="J99" s="83">
        <f>SUM(J100:J100)</f>
        <v>41.816000000000003</v>
      </c>
    </row>
    <row r="100" spans="1:10" ht="16.899999999999999" hidden="1" customHeight="1" thickBot="1" x14ac:dyDescent="0.25">
      <c r="A100" s="189"/>
      <c r="B100" s="95"/>
      <c r="C100" s="96"/>
      <c r="D100" s="97">
        <v>2212</v>
      </c>
      <c r="E100" s="97">
        <v>5169</v>
      </c>
      <c r="F100" s="145" t="s">
        <v>10</v>
      </c>
      <c r="G100" s="125">
        <v>0</v>
      </c>
      <c r="H100" s="88">
        <f>35.816+6</f>
        <v>41.816000000000003</v>
      </c>
      <c r="I100" s="125"/>
      <c r="J100" s="74">
        <f>H100+I100</f>
        <v>41.816000000000003</v>
      </c>
    </row>
    <row r="101" spans="1:10" ht="16.899999999999999" hidden="1" customHeight="1" x14ac:dyDescent="0.2">
      <c r="A101" s="189"/>
      <c r="B101" s="90" t="s">
        <v>2</v>
      </c>
      <c r="C101" s="91" t="s">
        <v>107</v>
      </c>
      <c r="D101" s="92" t="s">
        <v>0</v>
      </c>
      <c r="E101" s="92" t="s">
        <v>0</v>
      </c>
      <c r="F101" s="117" t="s">
        <v>108</v>
      </c>
      <c r="G101" s="83">
        <f>SUM(G102:G102)</f>
        <v>0</v>
      </c>
      <c r="H101" s="83">
        <f>SUM(H102:H102)</f>
        <v>15.125</v>
      </c>
      <c r="I101" s="83">
        <f>SUM(I102:I102)</f>
        <v>0</v>
      </c>
      <c r="J101" s="83">
        <f>SUM(J102:J102)</f>
        <v>15.125</v>
      </c>
    </row>
    <row r="102" spans="1:10" ht="16.899999999999999" hidden="1" customHeight="1" thickBot="1" x14ac:dyDescent="0.25">
      <c r="A102" s="189"/>
      <c r="B102" s="95"/>
      <c r="C102" s="96"/>
      <c r="D102" s="97">
        <v>2212</v>
      </c>
      <c r="E102" s="97">
        <v>5169</v>
      </c>
      <c r="F102" s="146" t="s">
        <v>10</v>
      </c>
      <c r="G102" s="125">
        <v>0</v>
      </c>
      <c r="H102" s="88">
        <f>15.125</f>
        <v>15.125</v>
      </c>
      <c r="I102" s="125"/>
      <c r="J102" s="74">
        <f>H102+I102</f>
        <v>15.125</v>
      </c>
    </row>
    <row r="103" spans="1:10" ht="16.899999999999999" hidden="1" customHeight="1" x14ac:dyDescent="0.2">
      <c r="A103" s="189"/>
      <c r="B103" s="90" t="s">
        <v>2</v>
      </c>
      <c r="C103" s="91" t="s">
        <v>109</v>
      </c>
      <c r="D103" s="92" t="s">
        <v>0</v>
      </c>
      <c r="E103" s="92" t="s">
        <v>0</v>
      </c>
      <c r="F103" s="117" t="s">
        <v>110</v>
      </c>
      <c r="G103" s="83">
        <f>SUM(G104:G104)</f>
        <v>0</v>
      </c>
      <c r="H103" s="83">
        <f>SUM(H104:H104)</f>
        <v>828.53800000000001</v>
      </c>
      <c r="I103" s="83">
        <f>SUM(I104:I104)</f>
        <v>0</v>
      </c>
      <c r="J103" s="83">
        <f>SUM(J104:J104)</f>
        <v>828.53800000000001</v>
      </c>
    </row>
    <row r="104" spans="1:10" ht="16.899999999999999" hidden="1" customHeight="1" thickBot="1" x14ac:dyDescent="0.25">
      <c r="A104" s="189"/>
      <c r="B104" s="95"/>
      <c r="C104" s="96"/>
      <c r="D104" s="97">
        <v>2212</v>
      </c>
      <c r="E104" s="97">
        <v>6121</v>
      </c>
      <c r="F104" s="124" t="s">
        <v>18</v>
      </c>
      <c r="G104" s="125">
        <v>0</v>
      </c>
      <c r="H104" s="88">
        <f>978.431-232.393+72.6+9.9</f>
        <v>828.53800000000001</v>
      </c>
      <c r="I104" s="125"/>
      <c r="J104" s="74">
        <f>H104+I104</f>
        <v>828.53800000000001</v>
      </c>
    </row>
    <row r="105" spans="1:10" ht="16.899999999999999" hidden="1" customHeight="1" x14ac:dyDescent="0.2">
      <c r="A105" s="189"/>
      <c r="B105" s="90" t="s">
        <v>2</v>
      </c>
      <c r="C105" s="91" t="s">
        <v>111</v>
      </c>
      <c r="D105" s="92" t="s">
        <v>0</v>
      </c>
      <c r="E105" s="92" t="s">
        <v>0</v>
      </c>
      <c r="F105" s="117" t="s">
        <v>112</v>
      </c>
      <c r="G105" s="83">
        <f>SUM(G106:G106)</f>
        <v>0</v>
      </c>
      <c r="H105" s="83">
        <f>SUM(H106:H106)</f>
        <v>1688.7949999999998</v>
      </c>
      <c r="I105" s="83">
        <f>SUM(I106:I106)</f>
        <v>0</v>
      </c>
      <c r="J105" s="83">
        <f>SUM(J106:J106)</f>
        <v>1688.7949999999998</v>
      </c>
    </row>
    <row r="106" spans="1:10" ht="16.899999999999999" hidden="1" customHeight="1" thickBot="1" x14ac:dyDescent="0.25">
      <c r="A106" s="189"/>
      <c r="B106" s="130"/>
      <c r="C106" s="127"/>
      <c r="D106" s="120">
        <v>2212</v>
      </c>
      <c r="E106" s="120">
        <v>6121</v>
      </c>
      <c r="F106" s="131" t="s">
        <v>18</v>
      </c>
      <c r="G106" s="88">
        <v>0</v>
      </c>
      <c r="H106" s="88">
        <f>2231.441-614.886+53.24+19</f>
        <v>1688.7949999999998</v>
      </c>
      <c r="I106" s="125"/>
      <c r="J106" s="74">
        <f>H106+I106</f>
        <v>1688.7949999999998</v>
      </c>
    </row>
    <row r="107" spans="1:10" ht="16.899999999999999" hidden="1" customHeight="1" x14ac:dyDescent="0.2">
      <c r="A107" s="189"/>
      <c r="B107" s="90" t="s">
        <v>2</v>
      </c>
      <c r="C107" s="91" t="s">
        <v>126</v>
      </c>
      <c r="D107" s="92" t="s">
        <v>0</v>
      </c>
      <c r="E107" s="92" t="s">
        <v>0</v>
      </c>
      <c r="F107" s="117" t="s">
        <v>127</v>
      </c>
      <c r="G107" s="83">
        <f>SUM(G108:G108)</f>
        <v>0</v>
      </c>
      <c r="H107" s="83">
        <f>SUM(H108:H108)</f>
        <v>31815.326000000001</v>
      </c>
      <c r="I107" s="83">
        <f>SUM(I108:I108)</f>
        <v>0</v>
      </c>
      <c r="J107" s="83">
        <f>SUM(J108:J108)</f>
        <v>31815.326000000001</v>
      </c>
    </row>
    <row r="108" spans="1:10" ht="16.899999999999999" hidden="1" customHeight="1" thickBot="1" x14ac:dyDescent="0.25">
      <c r="A108" s="189"/>
      <c r="B108" s="130"/>
      <c r="C108" s="127"/>
      <c r="D108" s="120">
        <v>2212</v>
      </c>
      <c r="E108" s="120">
        <v>6121</v>
      </c>
      <c r="F108" s="131" t="s">
        <v>18</v>
      </c>
      <c r="G108" s="88">
        <v>0</v>
      </c>
      <c r="H108" s="123">
        <f>27727.819+4214.887-276.21+53.24+95.59</f>
        <v>31815.326000000001</v>
      </c>
      <c r="I108" s="125"/>
      <c r="J108" s="74">
        <f>H108+I108</f>
        <v>31815.326000000001</v>
      </c>
    </row>
    <row r="109" spans="1:10" ht="16.899999999999999" hidden="1" customHeight="1" x14ac:dyDescent="0.2">
      <c r="A109" s="189"/>
      <c r="B109" s="90" t="s">
        <v>2</v>
      </c>
      <c r="C109" s="91" t="s">
        <v>128</v>
      </c>
      <c r="D109" s="92" t="s">
        <v>0</v>
      </c>
      <c r="E109" s="92" t="s">
        <v>0</v>
      </c>
      <c r="F109" s="117" t="s">
        <v>129</v>
      </c>
      <c r="G109" s="83">
        <f>SUM(G110:G111)</f>
        <v>0</v>
      </c>
      <c r="H109" s="83">
        <f>SUM(H110:H111)</f>
        <v>626.15100000000007</v>
      </c>
      <c r="I109" s="83">
        <f>SUM(I110:I111)</f>
        <v>0</v>
      </c>
      <c r="J109" s="83">
        <f>SUM(J110:J111)</f>
        <v>626.15100000000007</v>
      </c>
    </row>
    <row r="110" spans="1:10" ht="16.899999999999999" hidden="1" customHeight="1" x14ac:dyDescent="0.2">
      <c r="A110" s="189"/>
      <c r="B110" s="95"/>
      <c r="C110" s="96"/>
      <c r="D110" s="97">
        <v>2212</v>
      </c>
      <c r="E110" s="97">
        <v>5169</v>
      </c>
      <c r="F110" s="146" t="s">
        <v>10</v>
      </c>
      <c r="G110" s="125">
        <v>0</v>
      </c>
      <c r="H110" s="125">
        <f>34.485+18.138</f>
        <v>52.623000000000005</v>
      </c>
      <c r="I110" s="125"/>
      <c r="J110" s="89">
        <f>H110+I110</f>
        <v>52.623000000000005</v>
      </c>
    </row>
    <row r="111" spans="1:10" ht="16.899999999999999" hidden="1" customHeight="1" thickBot="1" x14ac:dyDescent="0.25">
      <c r="A111" s="189"/>
      <c r="B111" s="95"/>
      <c r="C111" s="96"/>
      <c r="D111" s="97">
        <v>2212</v>
      </c>
      <c r="E111" s="147">
        <v>5171</v>
      </c>
      <c r="F111" s="146" t="s">
        <v>37</v>
      </c>
      <c r="G111" s="125">
        <v>0</v>
      </c>
      <c r="H111" s="123">
        <f>592.9-19.372</f>
        <v>573.52800000000002</v>
      </c>
      <c r="I111" s="123"/>
      <c r="J111" s="149">
        <f>H111+I111</f>
        <v>573.52800000000002</v>
      </c>
    </row>
    <row r="112" spans="1:10" ht="16.899999999999999" hidden="1" customHeight="1" x14ac:dyDescent="0.2">
      <c r="A112" s="189"/>
      <c r="B112" s="90" t="s">
        <v>2</v>
      </c>
      <c r="C112" s="91" t="s">
        <v>130</v>
      </c>
      <c r="D112" s="92" t="s">
        <v>0</v>
      </c>
      <c r="E112" s="92" t="s">
        <v>0</v>
      </c>
      <c r="F112" s="117" t="s">
        <v>131</v>
      </c>
      <c r="G112" s="83">
        <f>SUM(G113:G114)</f>
        <v>0</v>
      </c>
      <c r="H112" s="83">
        <f>SUM(H113:H114)</f>
        <v>830.19</v>
      </c>
      <c r="I112" s="83">
        <f>SUM(I113:I114)</f>
        <v>0</v>
      </c>
      <c r="J112" s="83">
        <f>SUM(J113:J114)</f>
        <v>830.19</v>
      </c>
    </row>
    <row r="113" spans="1:10" ht="16.899999999999999" hidden="1" customHeight="1" x14ac:dyDescent="0.2">
      <c r="A113" s="189"/>
      <c r="B113" s="95"/>
      <c r="C113" s="96"/>
      <c r="D113" s="97">
        <v>2212</v>
      </c>
      <c r="E113" s="97">
        <v>5169</v>
      </c>
      <c r="F113" s="146" t="s">
        <v>10</v>
      </c>
      <c r="G113" s="125">
        <v>0</v>
      </c>
      <c r="H113" s="125">
        <f>49.731+26.209</f>
        <v>75.94</v>
      </c>
      <c r="I113" s="125"/>
      <c r="J113" s="89">
        <f>H113+I113</f>
        <v>75.94</v>
      </c>
    </row>
    <row r="114" spans="1:10" ht="16.899999999999999" hidden="1" customHeight="1" thickBot="1" x14ac:dyDescent="0.25">
      <c r="A114" s="189"/>
      <c r="B114" s="118"/>
      <c r="C114" s="129"/>
      <c r="D114" s="101">
        <v>2212</v>
      </c>
      <c r="E114" s="104">
        <v>5171</v>
      </c>
      <c r="F114" s="150" t="s">
        <v>37</v>
      </c>
      <c r="G114" s="123">
        <v>0</v>
      </c>
      <c r="H114" s="88">
        <f>754.25</f>
        <v>754.25</v>
      </c>
      <c r="I114" s="88"/>
      <c r="J114" s="149">
        <f>H114+I114</f>
        <v>754.25</v>
      </c>
    </row>
    <row r="115" spans="1:10" ht="16.899999999999999" hidden="1" customHeight="1" x14ac:dyDescent="0.2">
      <c r="A115" s="189"/>
      <c r="B115" s="90" t="s">
        <v>2</v>
      </c>
      <c r="C115" s="91" t="s">
        <v>132</v>
      </c>
      <c r="D115" s="92" t="s">
        <v>0</v>
      </c>
      <c r="E115" s="92" t="s">
        <v>0</v>
      </c>
      <c r="F115" s="117" t="s">
        <v>133</v>
      </c>
      <c r="G115" s="83">
        <f>SUM(G116:G116)</f>
        <v>0</v>
      </c>
      <c r="H115" s="83">
        <f>SUM(H116:H116)</f>
        <v>414.60299999999995</v>
      </c>
      <c r="I115" s="83">
        <f>SUM(I116:I116)</f>
        <v>0</v>
      </c>
      <c r="J115" s="83">
        <f>SUM(J116:J116)</f>
        <v>414.60299999999995</v>
      </c>
    </row>
    <row r="116" spans="1:10" ht="16.899999999999999" hidden="1" customHeight="1" thickBot="1" x14ac:dyDescent="0.25">
      <c r="A116" s="189"/>
      <c r="B116" s="95"/>
      <c r="C116" s="96"/>
      <c r="D116" s="97">
        <v>2212</v>
      </c>
      <c r="E116" s="97">
        <v>6121</v>
      </c>
      <c r="F116" s="124" t="s">
        <v>18</v>
      </c>
      <c r="G116" s="125">
        <v>0</v>
      </c>
      <c r="H116" s="88">
        <f>412.414-35.624+27.83+9.983</f>
        <v>414.60299999999995</v>
      </c>
      <c r="I116" s="125"/>
      <c r="J116" s="74">
        <f>H116+I116</f>
        <v>414.60299999999995</v>
      </c>
    </row>
    <row r="117" spans="1:10" ht="16.899999999999999" hidden="1" customHeight="1" x14ac:dyDescent="0.2">
      <c r="A117" s="189"/>
      <c r="B117" s="90" t="s">
        <v>2</v>
      </c>
      <c r="C117" s="91" t="s">
        <v>134</v>
      </c>
      <c r="D117" s="92" t="s">
        <v>0</v>
      </c>
      <c r="E117" s="92" t="s">
        <v>0</v>
      </c>
      <c r="F117" s="117" t="s">
        <v>135</v>
      </c>
      <c r="G117" s="83">
        <f>SUM(G118:G118)</f>
        <v>0</v>
      </c>
      <c r="H117" s="83">
        <f>SUM(H118:H118)</f>
        <v>582.46499999999992</v>
      </c>
      <c r="I117" s="83">
        <f>SUM(I118:I118)</f>
        <v>0</v>
      </c>
      <c r="J117" s="83">
        <f>SUM(J118:J118)</f>
        <v>582.46499999999992</v>
      </c>
    </row>
    <row r="118" spans="1:10" ht="16.899999999999999" hidden="1" customHeight="1" thickBot="1" x14ac:dyDescent="0.25">
      <c r="A118" s="189"/>
      <c r="B118" s="130"/>
      <c r="C118" s="127"/>
      <c r="D118" s="120">
        <v>2212</v>
      </c>
      <c r="E118" s="120">
        <v>6121</v>
      </c>
      <c r="F118" s="131" t="s">
        <v>18</v>
      </c>
      <c r="G118" s="88">
        <v>0</v>
      </c>
      <c r="H118" s="88">
        <f>551.101-26.514+29.04+28.838</f>
        <v>582.46499999999992</v>
      </c>
      <c r="I118" s="125"/>
      <c r="J118" s="74">
        <f>H118+I118</f>
        <v>582.46499999999992</v>
      </c>
    </row>
    <row r="119" spans="1:10" ht="16.899999999999999" hidden="1" customHeight="1" x14ac:dyDescent="0.2">
      <c r="A119" s="189"/>
      <c r="B119" s="90" t="s">
        <v>2</v>
      </c>
      <c r="C119" s="91" t="s">
        <v>136</v>
      </c>
      <c r="D119" s="92" t="s">
        <v>0</v>
      </c>
      <c r="E119" s="92" t="s">
        <v>0</v>
      </c>
      <c r="F119" s="117" t="s">
        <v>137</v>
      </c>
      <c r="G119" s="83">
        <f>SUM(G120:G121)</f>
        <v>0</v>
      </c>
      <c r="H119" s="83">
        <f>SUM(H120:H121)</f>
        <v>1290.1470000000002</v>
      </c>
      <c r="I119" s="83">
        <f>SUM(I120:I121)</f>
        <v>0</v>
      </c>
      <c r="J119" s="83">
        <f>SUM(J120:J121)</f>
        <v>1290.1470000000002</v>
      </c>
    </row>
    <row r="120" spans="1:10" ht="16.899999999999999" hidden="1" customHeight="1" x14ac:dyDescent="0.2">
      <c r="A120" s="189"/>
      <c r="B120" s="95"/>
      <c r="C120" s="96"/>
      <c r="D120" s="97">
        <v>2212</v>
      </c>
      <c r="E120" s="97">
        <v>5169</v>
      </c>
      <c r="F120" s="146" t="s">
        <v>10</v>
      </c>
      <c r="G120" s="125">
        <v>0</v>
      </c>
      <c r="H120" s="125">
        <f>48.4</f>
        <v>48.4</v>
      </c>
      <c r="I120" s="125"/>
      <c r="J120" s="89">
        <f>H120+I120</f>
        <v>48.4</v>
      </c>
    </row>
    <row r="121" spans="1:10" ht="16.899999999999999" hidden="1" customHeight="1" thickBot="1" x14ac:dyDescent="0.25">
      <c r="A121" s="189"/>
      <c r="B121" s="118"/>
      <c r="C121" s="129"/>
      <c r="D121" s="101">
        <v>2212</v>
      </c>
      <c r="E121" s="104">
        <v>5171</v>
      </c>
      <c r="F121" s="150" t="s">
        <v>37</v>
      </c>
      <c r="G121" s="123">
        <v>0</v>
      </c>
      <c r="H121" s="123">
        <f>1241.747</f>
        <v>1241.7470000000001</v>
      </c>
      <c r="I121" s="123"/>
      <c r="J121" s="149">
        <f>H121+I121</f>
        <v>1241.7470000000001</v>
      </c>
    </row>
    <row r="122" spans="1:10" ht="16.899999999999999" hidden="1" customHeight="1" x14ac:dyDescent="0.2">
      <c r="A122" s="189"/>
      <c r="B122" s="90" t="s">
        <v>2</v>
      </c>
      <c r="C122" s="91" t="s">
        <v>138</v>
      </c>
      <c r="D122" s="92" t="s">
        <v>0</v>
      </c>
      <c r="E122" s="92" t="s">
        <v>0</v>
      </c>
      <c r="F122" s="117" t="s">
        <v>139</v>
      </c>
      <c r="G122" s="2">
        <f>SUM(G123:G125)</f>
        <v>0</v>
      </c>
      <c r="H122" s="2">
        <f>SUM(H123:H125)</f>
        <v>9378.4430000000011</v>
      </c>
      <c r="I122" s="2">
        <f>SUM(I123:I125)</f>
        <v>0</v>
      </c>
      <c r="J122" s="2">
        <f>SUM(J123:J125)</f>
        <v>9378.4430000000011</v>
      </c>
    </row>
    <row r="123" spans="1:10" ht="16.899999999999999" hidden="1" customHeight="1" x14ac:dyDescent="0.2">
      <c r="A123" s="189"/>
      <c r="B123" s="95"/>
      <c r="C123" s="96"/>
      <c r="D123" s="97">
        <v>2212</v>
      </c>
      <c r="E123" s="97">
        <v>5169</v>
      </c>
      <c r="F123" s="146" t="s">
        <v>10</v>
      </c>
      <c r="G123" s="125">
        <v>0</v>
      </c>
      <c r="H123" s="125">
        <f>44.77+28.838</f>
        <v>73.608000000000004</v>
      </c>
      <c r="I123" s="125"/>
      <c r="J123" s="89">
        <f>H123+I123</f>
        <v>73.608000000000004</v>
      </c>
    </row>
    <row r="124" spans="1:10" ht="16.899999999999999" hidden="1" customHeight="1" x14ac:dyDescent="0.2">
      <c r="A124" s="189"/>
      <c r="B124" s="154"/>
      <c r="C124" s="155"/>
      <c r="D124" s="156">
        <v>2212</v>
      </c>
      <c r="E124" s="169">
        <v>5171</v>
      </c>
      <c r="F124" s="170" t="s">
        <v>37</v>
      </c>
      <c r="G124" s="159">
        <v>0</v>
      </c>
      <c r="H124" s="159">
        <f>9371.558-9371.558+77.76</f>
        <v>77.760000000000005</v>
      </c>
      <c r="I124" s="159"/>
      <c r="J124" s="160">
        <f>H124+I124</f>
        <v>77.760000000000005</v>
      </c>
    </row>
    <row r="125" spans="1:10" ht="16.899999999999999" hidden="1" customHeight="1" thickBot="1" x14ac:dyDescent="0.25">
      <c r="A125" s="189"/>
      <c r="B125" s="49"/>
      <c r="C125" s="174" t="s">
        <v>70</v>
      </c>
      <c r="D125" s="42">
        <v>2212</v>
      </c>
      <c r="E125" s="46">
        <v>5171</v>
      </c>
      <c r="F125" s="47" t="s">
        <v>37</v>
      </c>
      <c r="G125" s="8">
        <v>0</v>
      </c>
      <c r="H125" s="7">
        <f>9371.558-66.723-77.76</f>
        <v>9227.0750000000007</v>
      </c>
      <c r="I125" s="7"/>
      <c r="J125" s="8">
        <f>H125+I125</f>
        <v>9227.0750000000007</v>
      </c>
    </row>
    <row r="126" spans="1:10" ht="16.899999999999999" hidden="1" customHeight="1" x14ac:dyDescent="0.2">
      <c r="A126" s="189"/>
      <c r="B126" s="139" t="s">
        <v>2</v>
      </c>
      <c r="C126" s="140" t="s">
        <v>140</v>
      </c>
      <c r="D126" s="141" t="s">
        <v>0</v>
      </c>
      <c r="E126" s="141" t="s">
        <v>0</v>
      </c>
      <c r="F126" s="142" t="s">
        <v>141</v>
      </c>
      <c r="G126" s="143">
        <f>SUM(G127:G127)</f>
        <v>0</v>
      </c>
      <c r="H126" s="143">
        <f>SUM(H127:H127)</f>
        <v>5800.2380000000003</v>
      </c>
      <c r="I126" s="143">
        <f>SUM(I127:I127)</f>
        <v>0</v>
      </c>
      <c r="J126" s="143">
        <f>SUM(J127:J127)</f>
        <v>5800.2380000000003</v>
      </c>
    </row>
    <row r="127" spans="1:10" ht="16.899999999999999" hidden="1" customHeight="1" thickBot="1" x14ac:dyDescent="0.25">
      <c r="A127" s="189"/>
      <c r="B127" s="130"/>
      <c r="C127" s="127"/>
      <c r="D127" s="120">
        <v>2212</v>
      </c>
      <c r="E127" s="120">
        <v>6121</v>
      </c>
      <c r="F127" s="131" t="s">
        <v>18</v>
      </c>
      <c r="G127" s="88">
        <v>0</v>
      </c>
      <c r="H127" s="88">
        <f>5800.238</f>
        <v>5800.2380000000003</v>
      </c>
      <c r="I127" s="125"/>
      <c r="J127" s="74">
        <f>H127+I127</f>
        <v>5800.2380000000003</v>
      </c>
    </row>
    <row r="128" spans="1:10" ht="23.25" thickBot="1" x14ac:dyDescent="0.25">
      <c r="A128" s="189"/>
      <c r="B128" s="112" t="s">
        <v>2</v>
      </c>
      <c r="C128" s="113" t="s">
        <v>0</v>
      </c>
      <c r="D128" s="114" t="s">
        <v>0</v>
      </c>
      <c r="E128" s="114" t="s">
        <v>0</v>
      </c>
      <c r="F128" s="115" t="s">
        <v>142</v>
      </c>
      <c r="G128" s="116">
        <f>G129+G133+G135+G138+G142+G145+G149+G151+G155+G159+G162+G164+G166+G170+G174+G177+G181+G185+G188+G192+G196+G199+G202+G205+G208+G211+G214+G217+G220+G223+G226+G229</f>
        <v>0</v>
      </c>
      <c r="H128" s="116">
        <f>H129+H133+H135+H138+H142+H145+H149+H151+H155+H159+H162+H164+H166+H170+H174+H177+H181+H185+H188+H192+H196+H199+H202+H205+H208+H211+H214+H217+H220+H223+H226+H229</f>
        <v>439862.90499999997</v>
      </c>
      <c r="I128" s="116">
        <f>I129+I133+I135+I138+I142+I145+I149+I151+I155+I159+I162+I164+I166+I170+I174+I177+I181+I185+I188+I192+I196+I199+I202+I205+I208+I211+I214+I217+I220+I223+I226+I229</f>
        <v>0</v>
      </c>
      <c r="J128" s="116">
        <f>J129+J133+J135+J138+J142+J145+J149+J151+J155+J159+J162+J164+J166+J170+J174+J177+J181+J185+J188+J192+J196+J199+J202+J205+J208+J211+J214+J217+J220+J223+J226+J229</f>
        <v>439862.90499999997</v>
      </c>
    </row>
    <row r="129" spans="1:10" ht="15.6" hidden="1" customHeight="1" x14ac:dyDescent="0.2">
      <c r="A129" s="189"/>
      <c r="B129" s="17" t="s">
        <v>2</v>
      </c>
      <c r="C129" s="6" t="s">
        <v>41</v>
      </c>
      <c r="D129" s="18" t="s">
        <v>0</v>
      </c>
      <c r="E129" s="18" t="s">
        <v>0</v>
      </c>
      <c r="F129" s="5" t="s">
        <v>42</v>
      </c>
      <c r="G129" s="2">
        <f>SUM(G130:G132)</f>
        <v>0</v>
      </c>
      <c r="H129" s="2">
        <f>SUM(H130:H132)</f>
        <v>51424.426999999989</v>
      </c>
      <c r="I129" s="23">
        <f>SUM(I130:I132)</f>
        <v>0</v>
      </c>
      <c r="J129" s="2">
        <f>SUM(J130:J132)</f>
        <v>51424.426999999989</v>
      </c>
    </row>
    <row r="130" spans="1:10" ht="15.6" hidden="1" customHeight="1" x14ac:dyDescent="0.2">
      <c r="A130" s="189"/>
      <c r="B130" s="24"/>
      <c r="C130" s="25"/>
      <c r="D130" s="20">
        <v>2212</v>
      </c>
      <c r="E130" s="35">
        <v>5901</v>
      </c>
      <c r="F130" s="36" t="s">
        <v>22</v>
      </c>
      <c r="G130" s="26">
        <v>0</v>
      </c>
      <c r="H130" s="37">
        <f>725.494+33108.506+129773.789-112441.067-742.863</f>
        <v>50423.858999999997</v>
      </c>
      <c r="I130" s="168"/>
      <c r="J130" s="21">
        <f>H130+I130</f>
        <v>50423.858999999997</v>
      </c>
    </row>
    <row r="131" spans="1:10" ht="15.6" hidden="1" customHeight="1" x14ac:dyDescent="0.2">
      <c r="A131" s="189"/>
      <c r="B131" s="38"/>
      <c r="C131" s="39" t="s">
        <v>70</v>
      </c>
      <c r="D131" s="20">
        <v>2212</v>
      </c>
      <c r="E131" s="35">
        <v>5901</v>
      </c>
      <c r="F131" s="36" t="s">
        <v>22</v>
      </c>
      <c r="G131" s="26">
        <v>0</v>
      </c>
      <c r="H131" s="37">
        <f>130000-129773.789+742.863</f>
        <v>969.07399999999575</v>
      </c>
      <c r="I131" s="168"/>
      <c r="J131" s="21">
        <f>H131+I131</f>
        <v>969.07399999999575</v>
      </c>
    </row>
    <row r="132" spans="1:10" ht="15.6" hidden="1" customHeight="1" thickBot="1" x14ac:dyDescent="0.25">
      <c r="A132" s="189"/>
      <c r="B132" s="38"/>
      <c r="C132" s="40" t="s">
        <v>71</v>
      </c>
      <c r="D132" s="15">
        <v>2212</v>
      </c>
      <c r="E132" s="32">
        <v>6901</v>
      </c>
      <c r="F132" s="33" t="s">
        <v>72</v>
      </c>
      <c r="G132" s="41">
        <v>0</v>
      </c>
      <c r="H132" s="37">
        <f>15269.676+33140-15269.676-33108.506</f>
        <v>31.493999999998778</v>
      </c>
      <c r="I132" s="48"/>
      <c r="J132" s="10">
        <f>H132+I132</f>
        <v>31.493999999998778</v>
      </c>
    </row>
    <row r="133" spans="1:10" ht="15.6" hidden="1" customHeight="1" x14ac:dyDescent="0.2">
      <c r="A133" s="189"/>
      <c r="B133" s="90" t="s">
        <v>2</v>
      </c>
      <c r="C133" s="91" t="s">
        <v>74</v>
      </c>
      <c r="D133" s="92" t="s">
        <v>0</v>
      </c>
      <c r="E133" s="92" t="s">
        <v>0</v>
      </c>
      <c r="F133" s="117" t="s">
        <v>75</v>
      </c>
      <c r="G133" s="83">
        <f>G134</f>
        <v>0</v>
      </c>
      <c r="H133" s="83">
        <f>SUM(H134:H134)</f>
        <v>20624.903000000002</v>
      </c>
      <c r="I133" s="82">
        <f>SUM(I134:I134)</f>
        <v>0</v>
      </c>
      <c r="J133" s="83">
        <f>SUM(J134:J134)</f>
        <v>20624.903000000002</v>
      </c>
    </row>
    <row r="134" spans="1:10" ht="15.6" hidden="1" customHeight="1" thickBot="1" x14ac:dyDescent="0.25">
      <c r="A134" s="189"/>
      <c r="B134" s="118"/>
      <c r="C134" s="119"/>
      <c r="D134" s="120">
        <v>2212</v>
      </c>
      <c r="E134" s="151">
        <v>6121</v>
      </c>
      <c r="F134" s="131" t="s">
        <v>73</v>
      </c>
      <c r="G134" s="123">
        <v>0</v>
      </c>
      <c r="H134" s="88">
        <f>20558.503+48.4+18</f>
        <v>20624.903000000002</v>
      </c>
      <c r="I134" s="99"/>
      <c r="J134" s="74">
        <f>H134+I134</f>
        <v>20624.903000000002</v>
      </c>
    </row>
    <row r="135" spans="1:10" ht="15.6" hidden="1" customHeight="1" x14ac:dyDescent="0.2">
      <c r="A135" s="189"/>
      <c r="B135" s="90" t="s">
        <v>2</v>
      </c>
      <c r="C135" s="91" t="s">
        <v>143</v>
      </c>
      <c r="D135" s="92" t="s">
        <v>0</v>
      </c>
      <c r="E135" s="92" t="s">
        <v>0</v>
      </c>
      <c r="F135" s="117" t="s">
        <v>144</v>
      </c>
      <c r="G135" s="83">
        <f>SUM(G136:G137)</f>
        <v>0</v>
      </c>
      <c r="H135" s="83">
        <f>SUM(H136:H137)</f>
        <v>1276.085</v>
      </c>
      <c r="I135" s="82">
        <f>SUM(I136:I137)</f>
        <v>0</v>
      </c>
      <c r="J135" s="83">
        <f>SUM(J136:J137)</f>
        <v>1276.085</v>
      </c>
    </row>
    <row r="136" spans="1:10" ht="15.6" hidden="1" customHeight="1" x14ac:dyDescent="0.2">
      <c r="A136" s="189"/>
      <c r="B136" s="154"/>
      <c r="C136" s="155"/>
      <c r="D136" s="156">
        <v>2212</v>
      </c>
      <c r="E136" s="156">
        <v>6121</v>
      </c>
      <c r="F136" s="158" t="s">
        <v>18</v>
      </c>
      <c r="G136" s="159">
        <v>0</v>
      </c>
      <c r="H136" s="160">
        <f>1173.236-1173.236+50.094+54.45-1.695</f>
        <v>102.84900000000002</v>
      </c>
      <c r="I136" s="161"/>
      <c r="J136" s="160">
        <f>H136+I136</f>
        <v>102.84900000000002</v>
      </c>
    </row>
    <row r="137" spans="1:10" ht="15.6" hidden="1" customHeight="1" thickBot="1" x14ac:dyDescent="0.25">
      <c r="A137" s="189"/>
      <c r="B137" s="49"/>
      <c r="C137" s="44" t="s">
        <v>71</v>
      </c>
      <c r="D137" s="42">
        <v>2212</v>
      </c>
      <c r="E137" s="42">
        <v>6121</v>
      </c>
      <c r="F137" s="28" t="s">
        <v>18</v>
      </c>
      <c r="G137" s="162">
        <v>0</v>
      </c>
      <c r="H137" s="123">
        <v>1173.2360000000001</v>
      </c>
      <c r="I137" s="148"/>
      <c r="J137" s="149">
        <f>H137+I137</f>
        <v>1173.2360000000001</v>
      </c>
    </row>
    <row r="138" spans="1:10" ht="15.6" hidden="1" customHeight="1" x14ac:dyDescent="0.2">
      <c r="A138" s="189"/>
      <c r="B138" s="90" t="s">
        <v>2</v>
      </c>
      <c r="C138" s="91" t="s">
        <v>145</v>
      </c>
      <c r="D138" s="92" t="s">
        <v>0</v>
      </c>
      <c r="E138" s="92" t="s">
        <v>0</v>
      </c>
      <c r="F138" s="117" t="s">
        <v>146</v>
      </c>
      <c r="G138" s="2">
        <f>SUM(G139:G141)</f>
        <v>0</v>
      </c>
      <c r="H138" s="2">
        <f>SUM(H139:H141)</f>
        <v>33776.25</v>
      </c>
      <c r="I138" s="23">
        <f>SUM(I139:I141)</f>
        <v>0</v>
      </c>
      <c r="J138" s="2">
        <f>SUM(J139:J141)</f>
        <v>33776.25</v>
      </c>
    </row>
    <row r="139" spans="1:10" ht="15.6" hidden="1" customHeight="1" x14ac:dyDescent="0.2">
      <c r="A139" s="189"/>
      <c r="B139" s="95"/>
      <c r="C139" s="96"/>
      <c r="D139" s="97">
        <v>2212</v>
      </c>
      <c r="E139" s="97">
        <v>5169</v>
      </c>
      <c r="F139" s="146" t="s">
        <v>10</v>
      </c>
      <c r="G139" s="125">
        <v>0</v>
      </c>
      <c r="H139" s="125">
        <f>127.05+108</f>
        <v>235.05</v>
      </c>
      <c r="I139" s="126"/>
      <c r="J139" s="89">
        <f>H139+I139</f>
        <v>235.05</v>
      </c>
    </row>
    <row r="140" spans="1:10" ht="15.6" hidden="1" customHeight="1" x14ac:dyDescent="0.2">
      <c r="A140" s="189"/>
      <c r="B140" s="154"/>
      <c r="C140" s="155"/>
      <c r="D140" s="156">
        <v>2212</v>
      </c>
      <c r="E140" s="157">
        <v>5171</v>
      </c>
      <c r="F140" s="158" t="s">
        <v>37</v>
      </c>
      <c r="G140" s="159">
        <v>0</v>
      </c>
      <c r="H140" s="160">
        <f>33541.2-15000-9000</f>
        <v>9541.1999999999971</v>
      </c>
      <c r="I140" s="161"/>
      <c r="J140" s="160">
        <f>H140+I140</f>
        <v>9541.1999999999971</v>
      </c>
    </row>
    <row r="141" spans="1:10" ht="15.6" hidden="1" customHeight="1" thickBot="1" x14ac:dyDescent="0.25">
      <c r="A141" s="189"/>
      <c r="B141" s="49"/>
      <c r="C141" s="174" t="s">
        <v>70</v>
      </c>
      <c r="D141" s="42">
        <v>2212</v>
      </c>
      <c r="E141" s="46">
        <v>5171</v>
      </c>
      <c r="F141" s="47" t="s">
        <v>37</v>
      </c>
      <c r="G141" s="8">
        <v>0</v>
      </c>
      <c r="H141" s="7">
        <f>15000+9000</f>
        <v>24000</v>
      </c>
      <c r="I141" s="34"/>
      <c r="J141" s="8">
        <f>H141+I141</f>
        <v>24000</v>
      </c>
    </row>
    <row r="142" spans="1:10" ht="15.6" hidden="1" customHeight="1" x14ac:dyDescent="0.2">
      <c r="A142" s="189"/>
      <c r="B142" s="167" t="s">
        <v>2</v>
      </c>
      <c r="C142" s="163" t="s">
        <v>147</v>
      </c>
      <c r="D142" s="164" t="s">
        <v>0</v>
      </c>
      <c r="E142" s="164" t="s">
        <v>0</v>
      </c>
      <c r="F142" s="165" t="s">
        <v>148</v>
      </c>
      <c r="G142" s="83">
        <f>SUM(G143:G144)</f>
        <v>0</v>
      </c>
      <c r="H142" s="83">
        <f>SUM(H143:H144)</f>
        <v>10724.142</v>
      </c>
      <c r="I142" s="82">
        <f>SUM(I143:I144)</f>
        <v>0</v>
      </c>
      <c r="J142" s="83">
        <f>SUM(J143:J144)</f>
        <v>10724.142</v>
      </c>
    </row>
    <row r="143" spans="1:10" ht="15.6" hidden="1" customHeight="1" x14ac:dyDescent="0.2">
      <c r="A143" s="189"/>
      <c r="B143" s="154"/>
      <c r="C143" s="155"/>
      <c r="D143" s="156">
        <v>2212</v>
      </c>
      <c r="E143" s="156">
        <v>6121</v>
      </c>
      <c r="F143" s="158" t="s">
        <v>18</v>
      </c>
      <c r="G143" s="125">
        <v>0</v>
      </c>
      <c r="H143" s="160">
        <f>10629.762-10629.762+36.3+58.08</f>
        <v>94.38</v>
      </c>
      <c r="I143" s="161"/>
      <c r="J143" s="160">
        <f>H143+I143</f>
        <v>94.38</v>
      </c>
    </row>
    <row r="144" spans="1:10" ht="15.6" hidden="1" customHeight="1" thickBot="1" x14ac:dyDescent="0.25">
      <c r="A144" s="189"/>
      <c r="B144" s="49"/>
      <c r="C144" s="44" t="s">
        <v>71</v>
      </c>
      <c r="D144" s="42">
        <v>2212</v>
      </c>
      <c r="E144" s="42">
        <v>6121</v>
      </c>
      <c r="F144" s="28" t="s">
        <v>18</v>
      </c>
      <c r="G144" s="137">
        <v>0</v>
      </c>
      <c r="H144" s="123">
        <v>10629.762000000001</v>
      </c>
      <c r="I144" s="148"/>
      <c r="J144" s="149">
        <f>H144+I144</f>
        <v>10629.762000000001</v>
      </c>
    </row>
    <row r="145" spans="1:11" ht="15.6" hidden="1" customHeight="1" x14ac:dyDescent="0.2">
      <c r="A145" s="189"/>
      <c r="B145" s="139" t="s">
        <v>2</v>
      </c>
      <c r="C145" s="140" t="s">
        <v>149</v>
      </c>
      <c r="D145" s="141" t="s">
        <v>0</v>
      </c>
      <c r="E145" s="141" t="s">
        <v>0</v>
      </c>
      <c r="F145" s="142" t="s">
        <v>150</v>
      </c>
      <c r="G145" s="2">
        <f>SUM(G146:G148)</f>
        <v>0</v>
      </c>
      <c r="H145" s="2">
        <f>SUM(H146:H148)</f>
        <v>3290.047</v>
      </c>
      <c r="I145" s="23">
        <f>SUM(I146:I148)</f>
        <v>0</v>
      </c>
      <c r="J145" s="2">
        <f>SUM(J146:J148)</f>
        <v>3290.047</v>
      </c>
    </row>
    <row r="146" spans="1:11" ht="15.6" hidden="1" customHeight="1" x14ac:dyDescent="0.2">
      <c r="A146" s="189"/>
      <c r="B146" s="95"/>
      <c r="C146" s="96"/>
      <c r="D146" s="97">
        <v>2212</v>
      </c>
      <c r="E146" s="97">
        <v>5169</v>
      </c>
      <c r="F146" s="146" t="s">
        <v>10</v>
      </c>
      <c r="G146" s="125">
        <v>0</v>
      </c>
      <c r="H146" s="125">
        <v>48.4</v>
      </c>
      <c r="I146" s="126"/>
      <c r="J146" s="89">
        <f>H146+I146</f>
        <v>48.4</v>
      </c>
    </row>
    <row r="147" spans="1:11" ht="15.6" hidden="1" customHeight="1" x14ac:dyDescent="0.2">
      <c r="A147" s="189"/>
      <c r="B147" s="154"/>
      <c r="C147" s="155"/>
      <c r="D147" s="156">
        <v>2212</v>
      </c>
      <c r="E147" s="157">
        <v>5171</v>
      </c>
      <c r="F147" s="158" t="s">
        <v>37</v>
      </c>
      <c r="G147" s="159">
        <v>0</v>
      </c>
      <c r="H147" s="160">
        <f>3348.23-3348.23+2.392</f>
        <v>2.3919999999999999</v>
      </c>
      <c r="I147" s="161"/>
      <c r="J147" s="160">
        <f>H147+I147</f>
        <v>2.3919999999999999</v>
      </c>
    </row>
    <row r="148" spans="1:11" ht="15.6" hidden="1" customHeight="1" thickBot="1" x14ac:dyDescent="0.25">
      <c r="A148" s="189"/>
      <c r="B148" s="14"/>
      <c r="C148" s="171" t="s">
        <v>70</v>
      </c>
      <c r="D148" s="11">
        <v>2212</v>
      </c>
      <c r="E148" s="172">
        <v>5171</v>
      </c>
      <c r="F148" s="173" t="s">
        <v>37</v>
      </c>
      <c r="G148" s="10">
        <v>0</v>
      </c>
      <c r="H148" s="9">
        <f>3348.23-106.583-2.392</f>
        <v>3239.2550000000001</v>
      </c>
      <c r="I148" s="43"/>
      <c r="J148" s="10">
        <f>H148+I148</f>
        <v>3239.2550000000001</v>
      </c>
    </row>
    <row r="149" spans="1:11" ht="15.6" hidden="1" customHeight="1" x14ac:dyDescent="0.2">
      <c r="A149" s="189"/>
      <c r="B149" s="139" t="s">
        <v>2</v>
      </c>
      <c r="C149" s="140" t="s">
        <v>151</v>
      </c>
      <c r="D149" s="141" t="s">
        <v>0</v>
      </c>
      <c r="E149" s="141" t="s">
        <v>0</v>
      </c>
      <c r="F149" s="142" t="s">
        <v>152</v>
      </c>
      <c r="G149" s="143">
        <f>SUM(G150:G150)</f>
        <v>0</v>
      </c>
      <c r="H149" s="143">
        <f>SUM(H150:H150)</f>
        <v>15046.138000000001</v>
      </c>
      <c r="I149" s="144">
        <f>SUM(I150:I150)</f>
        <v>0</v>
      </c>
      <c r="J149" s="143">
        <f>SUM(J150:J150)</f>
        <v>15046.138000000001</v>
      </c>
    </row>
    <row r="150" spans="1:11" ht="15.6" hidden="1" customHeight="1" thickBot="1" x14ac:dyDescent="0.25">
      <c r="A150" s="189"/>
      <c r="B150" s="130"/>
      <c r="C150" s="127"/>
      <c r="D150" s="120">
        <v>2212</v>
      </c>
      <c r="E150" s="120">
        <v>6121</v>
      </c>
      <c r="F150" s="131" t="s">
        <v>18</v>
      </c>
      <c r="G150" s="88">
        <v>0</v>
      </c>
      <c r="H150" s="74">
        <f>15096.491+93.654-268.032+51.546+72.479</f>
        <v>15046.138000000001</v>
      </c>
      <c r="I150" s="76"/>
      <c r="J150" s="74">
        <f>H150+I150</f>
        <v>15046.138000000001</v>
      </c>
    </row>
    <row r="151" spans="1:11" ht="15.6" hidden="1" customHeight="1" x14ac:dyDescent="0.2">
      <c r="A151" s="189"/>
      <c r="B151" s="90" t="s">
        <v>2</v>
      </c>
      <c r="C151" s="91" t="s">
        <v>153</v>
      </c>
      <c r="D151" s="92" t="s">
        <v>0</v>
      </c>
      <c r="E151" s="92" t="s">
        <v>0</v>
      </c>
      <c r="F151" s="117" t="s">
        <v>154</v>
      </c>
      <c r="G151" s="2">
        <f>SUM(G152:G154)</f>
        <v>0</v>
      </c>
      <c r="H151" s="2">
        <f>SUM(H152:H154)</f>
        <v>23491.024999999998</v>
      </c>
      <c r="I151" s="23">
        <f>SUM(I152:I154)</f>
        <v>0</v>
      </c>
      <c r="J151" s="2">
        <f>SUM(J152:J154)</f>
        <v>23491.024999999998</v>
      </c>
      <c r="K151" s="16"/>
    </row>
    <row r="152" spans="1:11" ht="15.6" hidden="1" customHeight="1" x14ac:dyDescent="0.2">
      <c r="A152" s="189"/>
      <c r="B152" s="95"/>
      <c r="C152" s="96"/>
      <c r="D152" s="97">
        <v>2212</v>
      </c>
      <c r="E152" s="97">
        <v>5169</v>
      </c>
      <c r="F152" s="146" t="s">
        <v>10</v>
      </c>
      <c r="G152" s="125">
        <v>0</v>
      </c>
      <c r="H152" s="125">
        <f>133.1+63.888-(133.1+63.888)</f>
        <v>0</v>
      </c>
      <c r="I152" s="126"/>
      <c r="J152" s="89">
        <f>H152+I152</f>
        <v>0</v>
      </c>
      <c r="K152" s="16"/>
    </row>
    <row r="153" spans="1:11" ht="15.6" hidden="1" customHeight="1" x14ac:dyDescent="0.2">
      <c r="A153" s="189"/>
      <c r="B153" s="154"/>
      <c r="C153" s="155"/>
      <c r="D153" s="156">
        <v>2212</v>
      </c>
      <c r="E153" s="157">
        <v>5171</v>
      </c>
      <c r="F153" s="158" t="s">
        <v>37</v>
      </c>
      <c r="G153" s="159">
        <v>0</v>
      </c>
      <c r="H153" s="160">
        <f>23294.037-23294.037</f>
        <v>0</v>
      </c>
      <c r="I153" s="161"/>
      <c r="J153" s="160">
        <f>H153+I153</f>
        <v>0</v>
      </c>
    </row>
    <row r="154" spans="1:11" ht="15.6" hidden="1" customHeight="1" thickBot="1" x14ac:dyDescent="0.25">
      <c r="A154" s="189"/>
      <c r="B154" s="118"/>
      <c r="C154" s="129"/>
      <c r="D154" s="101">
        <v>2212</v>
      </c>
      <c r="E154" s="101">
        <v>6121</v>
      </c>
      <c r="F154" s="102" t="s">
        <v>18</v>
      </c>
      <c r="G154" s="123">
        <v>0</v>
      </c>
      <c r="H154" s="7">
        <f>23294.037+133.1+63.888</f>
        <v>23491.024999999998</v>
      </c>
      <c r="I154" s="34"/>
      <c r="J154" s="149">
        <f>H154+I154</f>
        <v>23491.024999999998</v>
      </c>
    </row>
    <row r="155" spans="1:11" ht="15.6" hidden="1" customHeight="1" x14ac:dyDescent="0.2">
      <c r="A155" s="189"/>
      <c r="B155" s="90" t="s">
        <v>2</v>
      </c>
      <c r="C155" s="91" t="s">
        <v>155</v>
      </c>
      <c r="D155" s="92" t="s">
        <v>0</v>
      </c>
      <c r="E155" s="92" t="s">
        <v>0</v>
      </c>
      <c r="F155" s="117" t="s">
        <v>156</v>
      </c>
      <c r="G155" s="2">
        <f>SUM(G156:G158)</f>
        <v>0</v>
      </c>
      <c r="H155" s="2">
        <f>SUM(H156:H158)</f>
        <v>3772.422</v>
      </c>
      <c r="I155" s="23">
        <f>SUM(I156:I158)</f>
        <v>0</v>
      </c>
      <c r="J155" s="2">
        <f>SUM(J156:J158)</f>
        <v>3772.422</v>
      </c>
    </row>
    <row r="156" spans="1:11" ht="15.6" hidden="1" customHeight="1" x14ac:dyDescent="0.2">
      <c r="A156" s="189"/>
      <c r="B156" s="95"/>
      <c r="C156" s="96"/>
      <c r="D156" s="97">
        <v>2212</v>
      </c>
      <c r="E156" s="97">
        <v>5169</v>
      </c>
      <c r="F156" s="146" t="s">
        <v>10</v>
      </c>
      <c r="G156" s="125">
        <v>0</v>
      </c>
      <c r="H156" s="125">
        <v>48.4</v>
      </c>
      <c r="I156" s="126"/>
      <c r="J156" s="89">
        <f>H156+I156</f>
        <v>48.4</v>
      </c>
    </row>
    <row r="157" spans="1:11" ht="15.6" hidden="1" customHeight="1" x14ac:dyDescent="0.2">
      <c r="A157" s="189"/>
      <c r="B157" s="154"/>
      <c r="C157" s="155"/>
      <c r="D157" s="156">
        <v>2212</v>
      </c>
      <c r="E157" s="157">
        <v>5171</v>
      </c>
      <c r="F157" s="158" t="s">
        <v>37</v>
      </c>
      <c r="G157" s="159">
        <v>0</v>
      </c>
      <c r="H157" s="160">
        <f>3724.022-3724.022</f>
        <v>0</v>
      </c>
      <c r="I157" s="161"/>
      <c r="J157" s="160">
        <f>H157+I157</f>
        <v>0</v>
      </c>
    </row>
    <row r="158" spans="1:11" ht="15.6" hidden="1" customHeight="1" thickBot="1" x14ac:dyDescent="0.25">
      <c r="A158" s="189"/>
      <c r="B158" s="49"/>
      <c r="C158" s="45" t="s">
        <v>70</v>
      </c>
      <c r="D158" s="42">
        <v>2212</v>
      </c>
      <c r="E158" s="46">
        <v>5171</v>
      </c>
      <c r="F158" s="47" t="s">
        <v>37</v>
      </c>
      <c r="G158" s="8">
        <v>0</v>
      </c>
      <c r="H158" s="27">
        <v>3724.0219999999999</v>
      </c>
      <c r="I158" s="168"/>
      <c r="J158" s="8">
        <f>H158+I158</f>
        <v>3724.0219999999999</v>
      </c>
    </row>
    <row r="159" spans="1:11" ht="15.6" hidden="1" customHeight="1" x14ac:dyDescent="0.2">
      <c r="A159" s="189"/>
      <c r="B159" s="90" t="s">
        <v>2</v>
      </c>
      <c r="C159" s="91" t="s">
        <v>157</v>
      </c>
      <c r="D159" s="92" t="s">
        <v>0</v>
      </c>
      <c r="E159" s="92" t="s">
        <v>0</v>
      </c>
      <c r="F159" s="117" t="s">
        <v>158</v>
      </c>
      <c r="G159" s="83">
        <f>SUM(G160:G161)</f>
        <v>0</v>
      </c>
      <c r="H159" s="83">
        <f>SUM(H160:H161)</f>
        <v>8605.9380000000001</v>
      </c>
      <c r="I159" s="82">
        <f>SUM(I160:I161)</f>
        <v>0</v>
      </c>
      <c r="J159" s="83">
        <f>SUM(J160:J161)</f>
        <v>8605.9380000000001</v>
      </c>
    </row>
    <row r="160" spans="1:11" ht="15.6" hidden="1" customHeight="1" x14ac:dyDescent="0.2">
      <c r="A160" s="189"/>
      <c r="B160" s="95"/>
      <c r="C160" s="96"/>
      <c r="D160" s="97">
        <v>2212</v>
      </c>
      <c r="E160" s="97">
        <v>5169</v>
      </c>
      <c r="F160" s="146" t="s">
        <v>10</v>
      </c>
      <c r="G160" s="125">
        <v>0</v>
      </c>
      <c r="H160" s="125">
        <v>72.599999999999994</v>
      </c>
      <c r="I160" s="126"/>
      <c r="J160" s="89">
        <f>H160+I160</f>
        <v>72.599999999999994</v>
      </c>
    </row>
    <row r="161" spans="1:10" ht="15.6" hidden="1" customHeight="1" thickBot="1" x14ac:dyDescent="0.25">
      <c r="A161" s="189"/>
      <c r="B161" s="130"/>
      <c r="C161" s="127"/>
      <c r="D161" s="120">
        <v>2212</v>
      </c>
      <c r="E161" s="151">
        <v>5171</v>
      </c>
      <c r="F161" s="131" t="s">
        <v>37</v>
      </c>
      <c r="G161" s="88">
        <v>0</v>
      </c>
      <c r="H161" s="74">
        <f>8533.338</f>
        <v>8533.3379999999997</v>
      </c>
      <c r="I161" s="76"/>
      <c r="J161" s="74">
        <f>H161+I161</f>
        <v>8533.3379999999997</v>
      </c>
    </row>
    <row r="162" spans="1:10" ht="15.6" hidden="1" customHeight="1" x14ac:dyDescent="0.2">
      <c r="A162" s="189"/>
      <c r="B162" s="90" t="s">
        <v>2</v>
      </c>
      <c r="C162" s="91" t="s">
        <v>159</v>
      </c>
      <c r="D162" s="92" t="s">
        <v>0</v>
      </c>
      <c r="E162" s="92" t="s">
        <v>0</v>
      </c>
      <c r="F162" s="117" t="s">
        <v>160</v>
      </c>
      <c r="G162" s="83">
        <f>SUM(G163:G163)</f>
        <v>0</v>
      </c>
      <c r="H162" s="83">
        <f>SUM(H163:H163)</f>
        <v>14617.897999999999</v>
      </c>
      <c r="I162" s="82">
        <f>SUM(I163:I163)</f>
        <v>0</v>
      </c>
      <c r="J162" s="83">
        <f>SUM(J163:J163)</f>
        <v>14617.897999999999</v>
      </c>
    </row>
    <row r="163" spans="1:10" ht="15.6" hidden="1" customHeight="1" thickBot="1" x14ac:dyDescent="0.25">
      <c r="A163" s="189"/>
      <c r="B163" s="130"/>
      <c r="C163" s="127"/>
      <c r="D163" s="120">
        <v>2212</v>
      </c>
      <c r="E163" s="120">
        <v>6121</v>
      </c>
      <c r="F163" s="131" t="s">
        <v>18</v>
      </c>
      <c r="G163" s="88">
        <v>0</v>
      </c>
      <c r="H163" s="74">
        <f>14439.302+108.9+69.696</f>
        <v>14617.897999999999</v>
      </c>
      <c r="I163" s="76"/>
      <c r="J163" s="74">
        <f>H163+I163</f>
        <v>14617.897999999999</v>
      </c>
    </row>
    <row r="164" spans="1:10" ht="15.6" hidden="1" customHeight="1" x14ac:dyDescent="0.2">
      <c r="A164" s="189"/>
      <c r="B164" s="90" t="s">
        <v>2</v>
      </c>
      <c r="C164" s="91" t="s">
        <v>161</v>
      </c>
      <c r="D164" s="92" t="s">
        <v>0</v>
      </c>
      <c r="E164" s="92" t="s">
        <v>0</v>
      </c>
      <c r="F164" s="117" t="s">
        <v>162</v>
      </c>
      <c r="G164" s="83">
        <f>SUM(G165:G165)</f>
        <v>0</v>
      </c>
      <c r="H164" s="83">
        <f>SUM(H165:H165)</f>
        <v>211.75</v>
      </c>
      <c r="I164" s="82">
        <f>SUM(I165:I165)</f>
        <v>0</v>
      </c>
      <c r="J164" s="83">
        <f>SUM(J165:J165)</f>
        <v>211.75</v>
      </c>
    </row>
    <row r="165" spans="1:10" ht="15.6" hidden="1" customHeight="1" thickBot="1" x14ac:dyDescent="0.25">
      <c r="A165" s="189"/>
      <c r="B165" s="130"/>
      <c r="C165" s="127"/>
      <c r="D165" s="120">
        <v>2212</v>
      </c>
      <c r="E165" s="120">
        <v>6121</v>
      </c>
      <c r="F165" s="131" t="s">
        <v>18</v>
      </c>
      <c r="G165" s="88">
        <v>0</v>
      </c>
      <c r="H165" s="74">
        <f>102.366+30.734+78.65</f>
        <v>211.75</v>
      </c>
      <c r="I165" s="76"/>
      <c r="J165" s="74">
        <f>H165+I165</f>
        <v>211.75</v>
      </c>
    </row>
    <row r="166" spans="1:10" ht="15.6" hidden="1" customHeight="1" x14ac:dyDescent="0.2">
      <c r="A166" s="189"/>
      <c r="B166" s="90" t="s">
        <v>2</v>
      </c>
      <c r="C166" s="91" t="s">
        <v>163</v>
      </c>
      <c r="D166" s="92" t="s">
        <v>0</v>
      </c>
      <c r="E166" s="92" t="s">
        <v>0</v>
      </c>
      <c r="F166" s="117" t="s">
        <v>164</v>
      </c>
      <c r="G166" s="2">
        <f>SUM(G167:G169)</f>
        <v>0</v>
      </c>
      <c r="H166" s="2">
        <f>SUM(H167:H169)</f>
        <v>23649.392</v>
      </c>
      <c r="I166" s="23">
        <f>SUM(I167:I169)</f>
        <v>0</v>
      </c>
      <c r="J166" s="2">
        <f>SUM(J167:J169)</f>
        <v>23649.392</v>
      </c>
    </row>
    <row r="167" spans="1:10" ht="15.6" hidden="1" customHeight="1" x14ac:dyDescent="0.2">
      <c r="A167" s="189"/>
      <c r="B167" s="95"/>
      <c r="C167" s="96"/>
      <c r="D167" s="97">
        <v>2212</v>
      </c>
      <c r="E167" s="97">
        <v>5169</v>
      </c>
      <c r="F167" s="146" t="s">
        <v>10</v>
      </c>
      <c r="G167" s="125">
        <v>0</v>
      </c>
      <c r="H167" s="125">
        <f>113.74</f>
        <v>113.74</v>
      </c>
      <c r="I167" s="126"/>
      <c r="J167" s="89">
        <f>H167+I167</f>
        <v>113.74</v>
      </c>
    </row>
    <row r="168" spans="1:10" ht="15.6" hidden="1" customHeight="1" x14ac:dyDescent="0.2">
      <c r="A168" s="189"/>
      <c r="B168" s="154"/>
      <c r="C168" s="155"/>
      <c r="D168" s="156">
        <v>2212</v>
      </c>
      <c r="E168" s="157">
        <v>5171</v>
      </c>
      <c r="F168" s="158" t="s">
        <v>37</v>
      </c>
      <c r="G168" s="159">
        <v>0</v>
      </c>
      <c r="H168" s="160">
        <f>23535.652-23535.652</f>
        <v>0</v>
      </c>
      <c r="I168" s="161"/>
      <c r="J168" s="160">
        <f>H168+I168</f>
        <v>0</v>
      </c>
    </row>
    <row r="169" spans="1:10" ht="15.6" hidden="1" customHeight="1" thickBot="1" x14ac:dyDescent="0.25">
      <c r="A169" s="189"/>
      <c r="B169" s="49"/>
      <c r="C169" s="45" t="s">
        <v>70</v>
      </c>
      <c r="D169" s="42">
        <v>2212</v>
      </c>
      <c r="E169" s="46">
        <v>5171</v>
      </c>
      <c r="F169" s="47" t="s">
        <v>37</v>
      </c>
      <c r="G169" s="8">
        <v>0</v>
      </c>
      <c r="H169" s="27">
        <v>23535.651999999998</v>
      </c>
      <c r="I169" s="168"/>
      <c r="J169" s="8">
        <f>H169+I169</f>
        <v>23535.651999999998</v>
      </c>
    </row>
    <row r="170" spans="1:10" ht="15.6" hidden="1" customHeight="1" x14ac:dyDescent="0.2">
      <c r="A170" s="189"/>
      <c r="B170" s="90" t="s">
        <v>2</v>
      </c>
      <c r="C170" s="91" t="s">
        <v>165</v>
      </c>
      <c r="D170" s="92" t="s">
        <v>0</v>
      </c>
      <c r="E170" s="92" t="s">
        <v>0</v>
      </c>
      <c r="F170" s="117" t="s">
        <v>166</v>
      </c>
      <c r="G170" s="2">
        <f>SUM(G171:G173)</f>
        <v>0</v>
      </c>
      <c r="H170" s="2">
        <f>SUM(H171:H173)</f>
        <v>29018.55</v>
      </c>
      <c r="I170" s="23">
        <f>SUM(I171:I173)</f>
        <v>0</v>
      </c>
      <c r="J170" s="2">
        <f>SUM(J171:J173)</f>
        <v>29018.55</v>
      </c>
    </row>
    <row r="171" spans="1:10" ht="15.6" hidden="1" customHeight="1" x14ac:dyDescent="0.2">
      <c r="A171" s="189"/>
      <c r="B171" s="95"/>
      <c r="C171" s="96"/>
      <c r="D171" s="97">
        <v>2212</v>
      </c>
      <c r="E171" s="97">
        <v>5169</v>
      </c>
      <c r="F171" s="146" t="s">
        <v>10</v>
      </c>
      <c r="G171" s="125">
        <v>0</v>
      </c>
      <c r="H171" s="125">
        <f>74.052-33.252</f>
        <v>40.800000000000004</v>
      </c>
      <c r="I171" s="126"/>
      <c r="J171" s="89">
        <f>H171+I171</f>
        <v>40.800000000000004</v>
      </c>
    </row>
    <row r="172" spans="1:10" ht="15.6" hidden="1" customHeight="1" x14ac:dyDescent="0.2">
      <c r="A172" s="189"/>
      <c r="B172" s="154"/>
      <c r="C172" s="155"/>
      <c r="D172" s="156">
        <v>2212</v>
      </c>
      <c r="E172" s="157">
        <v>5171</v>
      </c>
      <c r="F172" s="158" t="s">
        <v>37</v>
      </c>
      <c r="G172" s="159">
        <v>0</v>
      </c>
      <c r="H172" s="160">
        <f>28977.75-20000</f>
        <v>8977.75</v>
      </c>
      <c r="I172" s="161"/>
      <c r="J172" s="160">
        <f>H172+I172</f>
        <v>8977.75</v>
      </c>
    </row>
    <row r="173" spans="1:10" ht="15.6" hidden="1" customHeight="1" thickBot="1" x14ac:dyDescent="0.25">
      <c r="A173" s="189"/>
      <c r="B173" s="49"/>
      <c r="C173" s="45" t="s">
        <v>70</v>
      </c>
      <c r="D173" s="42">
        <v>2212</v>
      </c>
      <c r="E173" s="46">
        <v>5171</v>
      </c>
      <c r="F173" s="47" t="s">
        <v>37</v>
      </c>
      <c r="G173" s="8">
        <v>0</v>
      </c>
      <c r="H173" s="27">
        <v>20000</v>
      </c>
      <c r="I173" s="168"/>
      <c r="J173" s="8">
        <f>H173+I173</f>
        <v>20000</v>
      </c>
    </row>
    <row r="174" spans="1:10" ht="15.6" hidden="1" customHeight="1" x14ac:dyDescent="0.2">
      <c r="A174" s="189"/>
      <c r="B174" s="90" t="s">
        <v>2</v>
      </c>
      <c r="C174" s="91" t="s">
        <v>167</v>
      </c>
      <c r="D174" s="92" t="s">
        <v>0</v>
      </c>
      <c r="E174" s="92" t="s">
        <v>0</v>
      </c>
      <c r="F174" s="117" t="s">
        <v>192</v>
      </c>
      <c r="G174" s="83">
        <f>SUM(G175:G176)</f>
        <v>0</v>
      </c>
      <c r="H174" s="83">
        <f>SUM(H175:H176)</f>
        <v>7878.3099999999995</v>
      </c>
      <c r="I174" s="82">
        <f>SUM(I175:I176)</f>
        <v>0</v>
      </c>
      <c r="J174" s="83">
        <f>SUM(J175:J176)</f>
        <v>7878.3099999999995</v>
      </c>
    </row>
    <row r="175" spans="1:10" ht="15.6" hidden="1" customHeight="1" x14ac:dyDescent="0.2">
      <c r="A175" s="189"/>
      <c r="B175" s="95"/>
      <c r="C175" s="96"/>
      <c r="D175" s="97">
        <v>2212</v>
      </c>
      <c r="E175" s="97">
        <v>5169</v>
      </c>
      <c r="F175" s="146" t="s">
        <v>10</v>
      </c>
      <c r="G175" s="125">
        <v>0</v>
      </c>
      <c r="H175" s="125">
        <v>78.650000000000006</v>
      </c>
      <c r="I175" s="126"/>
      <c r="J175" s="89">
        <f>H175+I175</f>
        <v>78.650000000000006</v>
      </c>
    </row>
    <row r="176" spans="1:10" ht="15.6" hidden="1" customHeight="1" thickBot="1" x14ac:dyDescent="0.25">
      <c r="A176" s="189"/>
      <c r="B176" s="130"/>
      <c r="C176" s="127"/>
      <c r="D176" s="120">
        <v>2212</v>
      </c>
      <c r="E176" s="151">
        <v>5171</v>
      </c>
      <c r="F176" s="131" t="s">
        <v>37</v>
      </c>
      <c r="G176" s="88">
        <v>0</v>
      </c>
      <c r="H176" s="74">
        <f>7394.277+405.383</f>
        <v>7799.66</v>
      </c>
      <c r="I176" s="76"/>
      <c r="J176" s="74">
        <f>H176+I176</f>
        <v>7799.66</v>
      </c>
    </row>
    <row r="177" spans="1:10" ht="15.6" hidden="1" customHeight="1" x14ac:dyDescent="0.2">
      <c r="A177" s="189"/>
      <c r="B177" s="90" t="s">
        <v>2</v>
      </c>
      <c r="C177" s="91" t="s">
        <v>168</v>
      </c>
      <c r="D177" s="92" t="s">
        <v>0</v>
      </c>
      <c r="E177" s="92" t="s">
        <v>0</v>
      </c>
      <c r="F177" s="117" t="s">
        <v>169</v>
      </c>
      <c r="G177" s="2">
        <f>SUM(G178:G180)</f>
        <v>0</v>
      </c>
      <c r="H177" s="2">
        <f>SUM(H178:H180)</f>
        <v>12726.644</v>
      </c>
      <c r="I177" s="23">
        <f>SUM(I178:I180)</f>
        <v>0</v>
      </c>
      <c r="J177" s="2">
        <f>SUM(J178:J180)</f>
        <v>12726.644</v>
      </c>
    </row>
    <row r="178" spans="1:10" ht="15.6" hidden="1" customHeight="1" x14ac:dyDescent="0.2">
      <c r="A178" s="189"/>
      <c r="B178" s="95"/>
      <c r="C178" s="96"/>
      <c r="D178" s="97">
        <v>2212</v>
      </c>
      <c r="E178" s="97">
        <v>5169</v>
      </c>
      <c r="F178" s="146" t="s">
        <v>10</v>
      </c>
      <c r="G178" s="125">
        <v>0</v>
      </c>
      <c r="H178" s="125">
        <v>72.599999999999994</v>
      </c>
      <c r="I178" s="126"/>
      <c r="J178" s="89">
        <f>H178+I178</f>
        <v>72.599999999999994</v>
      </c>
    </row>
    <row r="179" spans="1:10" ht="15.6" hidden="1" customHeight="1" x14ac:dyDescent="0.2">
      <c r="A179" s="189"/>
      <c r="B179" s="154"/>
      <c r="C179" s="155"/>
      <c r="D179" s="156">
        <v>2212</v>
      </c>
      <c r="E179" s="157">
        <v>5171</v>
      </c>
      <c r="F179" s="158" t="s">
        <v>37</v>
      </c>
      <c r="G179" s="159">
        <v>0</v>
      </c>
      <c r="H179" s="160">
        <f>12654.044-12654.044</f>
        <v>0</v>
      </c>
      <c r="I179" s="161"/>
      <c r="J179" s="160">
        <f>H179+I179</f>
        <v>0</v>
      </c>
    </row>
    <row r="180" spans="1:10" ht="15.6" hidden="1" customHeight="1" thickBot="1" x14ac:dyDescent="0.25">
      <c r="A180" s="189"/>
      <c r="B180" s="49"/>
      <c r="C180" s="45" t="s">
        <v>70</v>
      </c>
      <c r="D180" s="42">
        <v>2212</v>
      </c>
      <c r="E180" s="46">
        <v>5171</v>
      </c>
      <c r="F180" s="47" t="s">
        <v>37</v>
      </c>
      <c r="G180" s="8">
        <v>0</v>
      </c>
      <c r="H180" s="27">
        <v>12654.044</v>
      </c>
      <c r="I180" s="168"/>
      <c r="J180" s="8">
        <f>H180+I180</f>
        <v>12654.044</v>
      </c>
    </row>
    <row r="181" spans="1:10" ht="15.6" hidden="1" customHeight="1" x14ac:dyDescent="0.2">
      <c r="A181" s="189"/>
      <c r="B181" s="90" t="s">
        <v>2</v>
      </c>
      <c r="C181" s="91" t="s">
        <v>170</v>
      </c>
      <c r="D181" s="92" t="s">
        <v>0</v>
      </c>
      <c r="E181" s="92" t="s">
        <v>0</v>
      </c>
      <c r="F181" s="117" t="s">
        <v>171</v>
      </c>
      <c r="G181" s="2">
        <f>SUM(G182:G184)</f>
        <v>0</v>
      </c>
      <c r="H181" s="2">
        <f>SUM(H182:H184)</f>
        <v>17625.986000000004</v>
      </c>
      <c r="I181" s="23">
        <f>SUM(I182:I184)</f>
        <v>0</v>
      </c>
      <c r="J181" s="2">
        <f>SUM(J182:J184)</f>
        <v>17625.986000000004</v>
      </c>
    </row>
    <row r="182" spans="1:10" ht="15.6" hidden="1" customHeight="1" x14ac:dyDescent="0.2">
      <c r="A182" s="189"/>
      <c r="B182" s="95"/>
      <c r="C182" s="96"/>
      <c r="D182" s="97">
        <v>2212</v>
      </c>
      <c r="E182" s="97">
        <v>5169</v>
      </c>
      <c r="F182" s="146" t="s">
        <v>10</v>
      </c>
      <c r="G182" s="125">
        <v>0</v>
      </c>
      <c r="H182" s="125">
        <f>61.71-14.81</f>
        <v>46.9</v>
      </c>
      <c r="I182" s="126"/>
      <c r="J182" s="89">
        <f>H182+I182</f>
        <v>46.9</v>
      </c>
    </row>
    <row r="183" spans="1:10" ht="15.6" hidden="1" customHeight="1" x14ac:dyDescent="0.2">
      <c r="A183" s="189"/>
      <c r="B183" s="154"/>
      <c r="C183" s="155"/>
      <c r="D183" s="156">
        <v>2212</v>
      </c>
      <c r="E183" s="157">
        <v>5171</v>
      </c>
      <c r="F183" s="158" t="s">
        <v>37</v>
      </c>
      <c r="G183" s="159">
        <v>0</v>
      </c>
      <c r="H183" s="160">
        <f>18068.491-18068.491</f>
        <v>0</v>
      </c>
      <c r="I183" s="161"/>
      <c r="J183" s="160">
        <f>H183+I183</f>
        <v>0</v>
      </c>
    </row>
    <row r="184" spans="1:10" ht="15.6" hidden="1" customHeight="1" thickBot="1" x14ac:dyDescent="0.25">
      <c r="A184" s="189"/>
      <c r="B184" s="49"/>
      <c r="C184" s="45" t="s">
        <v>70</v>
      </c>
      <c r="D184" s="42">
        <v>2212</v>
      </c>
      <c r="E184" s="46">
        <v>5171</v>
      </c>
      <c r="F184" s="47" t="s">
        <v>37</v>
      </c>
      <c r="G184" s="8">
        <v>0</v>
      </c>
      <c r="H184" s="27">
        <f>18068.491-489.405</f>
        <v>17579.086000000003</v>
      </c>
      <c r="I184" s="168"/>
      <c r="J184" s="8">
        <f>H184+I184</f>
        <v>17579.086000000003</v>
      </c>
    </row>
    <row r="185" spans="1:10" ht="15.6" hidden="1" customHeight="1" x14ac:dyDescent="0.2">
      <c r="A185" s="189"/>
      <c r="B185" s="90" t="s">
        <v>2</v>
      </c>
      <c r="C185" s="91" t="s">
        <v>172</v>
      </c>
      <c r="D185" s="92" t="s">
        <v>0</v>
      </c>
      <c r="E185" s="92" t="s">
        <v>0</v>
      </c>
      <c r="F185" s="117" t="s">
        <v>173</v>
      </c>
      <c r="G185" s="83">
        <f>SUM(G186:G187)</f>
        <v>0</v>
      </c>
      <c r="H185" s="83">
        <f>SUM(H186:H187)</f>
        <v>8902.1940000000013</v>
      </c>
      <c r="I185" s="82">
        <f>SUM(I186:I187)</f>
        <v>0</v>
      </c>
      <c r="J185" s="83">
        <f>SUM(J186:J187)</f>
        <v>8902.1940000000013</v>
      </c>
    </row>
    <row r="186" spans="1:10" ht="15.6" hidden="1" customHeight="1" x14ac:dyDescent="0.2">
      <c r="A186" s="189"/>
      <c r="B186" s="95"/>
      <c r="C186" s="96"/>
      <c r="D186" s="97">
        <v>2212</v>
      </c>
      <c r="E186" s="97">
        <v>5169</v>
      </c>
      <c r="F186" s="146" t="s">
        <v>10</v>
      </c>
      <c r="G186" s="125">
        <v>0</v>
      </c>
      <c r="H186" s="125">
        <f>56.749+4.451</f>
        <v>61.2</v>
      </c>
      <c r="I186" s="126"/>
      <c r="J186" s="89">
        <f>H186+I186</f>
        <v>61.2</v>
      </c>
    </row>
    <row r="187" spans="1:10" ht="15.6" hidden="1" customHeight="1" thickBot="1" x14ac:dyDescent="0.25">
      <c r="A187" s="189"/>
      <c r="B187" s="179"/>
      <c r="C187" s="134"/>
      <c r="D187" s="135">
        <v>2212</v>
      </c>
      <c r="E187" s="152">
        <v>5171</v>
      </c>
      <c r="F187" s="136" t="s">
        <v>37</v>
      </c>
      <c r="G187" s="137">
        <v>0</v>
      </c>
      <c r="H187" s="138">
        <v>8840.9940000000006</v>
      </c>
      <c r="I187" s="153"/>
      <c r="J187" s="138">
        <f>H187+I187</f>
        <v>8840.9940000000006</v>
      </c>
    </row>
    <row r="188" spans="1:10" ht="15.6" hidden="1" customHeight="1" x14ac:dyDescent="0.2">
      <c r="A188" s="189"/>
      <c r="B188" s="139" t="s">
        <v>2</v>
      </c>
      <c r="C188" s="140" t="s">
        <v>174</v>
      </c>
      <c r="D188" s="141" t="s">
        <v>0</v>
      </c>
      <c r="E188" s="141" t="s">
        <v>0</v>
      </c>
      <c r="F188" s="142" t="s">
        <v>175</v>
      </c>
      <c r="G188" s="175">
        <f>SUM(G189:G191)</f>
        <v>0</v>
      </c>
      <c r="H188" s="175">
        <f>SUM(H189:H191)</f>
        <v>14249.572</v>
      </c>
      <c r="I188" s="176">
        <f>SUM(I189:I191)</f>
        <v>0</v>
      </c>
      <c r="J188" s="175">
        <f>SUM(J189:J191)</f>
        <v>14249.572</v>
      </c>
    </row>
    <row r="189" spans="1:10" ht="15.6" hidden="1" customHeight="1" x14ac:dyDescent="0.2">
      <c r="A189" s="189"/>
      <c r="B189" s="95"/>
      <c r="C189" s="96"/>
      <c r="D189" s="97">
        <v>2212</v>
      </c>
      <c r="E189" s="97">
        <v>5169</v>
      </c>
      <c r="F189" s="146" t="s">
        <v>10</v>
      </c>
      <c r="G189" s="125">
        <v>0</v>
      </c>
      <c r="H189" s="125">
        <v>72.599999999999994</v>
      </c>
      <c r="I189" s="126"/>
      <c r="J189" s="89">
        <f>H189+I189</f>
        <v>72.599999999999994</v>
      </c>
    </row>
    <row r="190" spans="1:10" ht="15.6" hidden="1" customHeight="1" x14ac:dyDescent="0.2">
      <c r="A190" s="189"/>
      <c r="B190" s="154"/>
      <c r="C190" s="155"/>
      <c r="D190" s="156">
        <v>2212</v>
      </c>
      <c r="E190" s="157">
        <v>5171</v>
      </c>
      <c r="F190" s="158" t="s">
        <v>37</v>
      </c>
      <c r="G190" s="159">
        <v>0</v>
      </c>
      <c r="H190" s="160">
        <f>14176.972-14176.972</f>
        <v>0</v>
      </c>
      <c r="I190" s="161"/>
      <c r="J190" s="160">
        <f>H190+I190</f>
        <v>0</v>
      </c>
    </row>
    <row r="191" spans="1:10" ht="15.6" hidden="1" customHeight="1" thickBot="1" x14ac:dyDescent="0.25">
      <c r="A191" s="189"/>
      <c r="B191" s="49"/>
      <c r="C191" s="45" t="s">
        <v>70</v>
      </c>
      <c r="D191" s="42">
        <v>2212</v>
      </c>
      <c r="E191" s="46">
        <v>5171</v>
      </c>
      <c r="F191" s="47" t="s">
        <v>37</v>
      </c>
      <c r="G191" s="8">
        <v>0</v>
      </c>
      <c r="H191" s="27">
        <v>14176.972</v>
      </c>
      <c r="I191" s="168"/>
      <c r="J191" s="8">
        <f>H191+I191</f>
        <v>14176.972</v>
      </c>
    </row>
    <row r="192" spans="1:10" ht="15.6" hidden="1" customHeight="1" x14ac:dyDescent="0.2">
      <c r="A192" s="189"/>
      <c r="B192" s="90" t="s">
        <v>2</v>
      </c>
      <c r="C192" s="91" t="s">
        <v>176</v>
      </c>
      <c r="D192" s="92" t="s">
        <v>0</v>
      </c>
      <c r="E192" s="92" t="s">
        <v>0</v>
      </c>
      <c r="F192" s="117" t="s">
        <v>177</v>
      </c>
      <c r="G192" s="2">
        <f>SUM(G193:G195)</f>
        <v>0</v>
      </c>
      <c r="H192" s="2">
        <f>SUM(H193:H195)</f>
        <v>9791.3889999999992</v>
      </c>
      <c r="I192" s="23">
        <f>SUM(I193:I195)</f>
        <v>0</v>
      </c>
      <c r="J192" s="2">
        <f>SUM(J193:J195)</f>
        <v>9791.3889999999992</v>
      </c>
    </row>
    <row r="193" spans="1:10" ht="15.6" hidden="1" customHeight="1" x14ac:dyDescent="0.2">
      <c r="A193" s="189"/>
      <c r="B193" s="95"/>
      <c r="C193" s="96"/>
      <c r="D193" s="97">
        <v>2212</v>
      </c>
      <c r="E193" s="97">
        <v>5169</v>
      </c>
      <c r="F193" s="146" t="s">
        <v>10</v>
      </c>
      <c r="G193" s="125">
        <v>0</v>
      </c>
      <c r="H193" s="125">
        <f>49.368+1.632</f>
        <v>51</v>
      </c>
      <c r="I193" s="126"/>
      <c r="J193" s="89">
        <f>H193+I193</f>
        <v>51</v>
      </c>
    </row>
    <row r="194" spans="1:10" ht="15.6" hidden="1" customHeight="1" x14ac:dyDescent="0.2">
      <c r="A194" s="189"/>
      <c r="B194" s="154"/>
      <c r="C194" s="155"/>
      <c r="D194" s="156">
        <v>2212</v>
      </c>
      <c r="E194" s="157">
        <v>5171</v>
      </c>
      <c r="F194" s="158" t="s">
        <v>37</v>
      </c>
      <c r="G194" s="159">
        <v>0</v>
      </c>
      <c r="H194" s="160">
        <f>9894.82-9894.82-154.431+9000</f>
        <v>8845.5689999999995</v>
      </c>
      <c r="I194" s="161"/>
      <c r="J194" s="160">
        <f>H194+I194</f>
        <v>8845.5689999999995</v>
      </c>
    </row>
    <row r="195" spans="1:10" ht="15.6" hidden="1" customHeight="1" thickBot="1" x14ac:dyDescent="0.25">
      <c r="A195" s="189"/>
      <c r="B195" s="49"/>
      <c r="C195" s="45" t="s">
        <v>70</v>
      </c>
      <c r="D195" s="42">
        <v>2212</v>
      </c>
      <c r="E195" s="46">
        <v>5171</v>
      </c>
      <c r="F195" s="47" t="s">
        <v>37</v>
      </c>
      <c r="G195" s="8">
        <v>0</v>
      </c>
      <c r="H195" s="27">
        <f>9894.82-9000</f>
        <v>894.81999999999971</v>
      </c>
      <c r="I195" s="168"/>
      <c r="J195" s="180">
        <f>H195+I195</f>
        <v>894.81999999999971</v>
      </c>
    </row>
    <row r="196" spans="1:10" ht="15.6" hidden="1" customHeight="1" x14ac:dyDescent="0.2">
      <c r="A196" s="189"/>
      <c r="B196" s="90" t="s">
        <v>2</v>
      </c>
      <c r="C196" s="91" t="s">
        <v>178</v>
      </c>
      <c r="D196" s="92" t="s">
        <v>0</v>
      </c>
      <c r="E196" s="92" t="s">
        <v>0</v>
      </c>
      <c r="F196" s="117" t="s">
        <v>179</v>
      </c>
      <c r="G196" s="83">
        <f>SUM(G197:G198)</f>
        <v>0</v>
      </c>
      <c r="H196" s="83">
        <f>SUM(H197:H198)</f>
        <v>11947.223999999998</v>
      </c>
      <c r="I196" s="82">
        <f>SUM(I197:I198)</f>
        <v>0</v>
      </c>
      <c r="J196" s="83">
        <f>SUM(J197:J198)</f>
        <v>11947.223999999998</v>
      </c>
    </row>
    <row r="197" spans="1:10" ht="15.6" hidden="1" customHeight="1" x14ac:dyDescent="0.2">
      <c r="A197" s="189"/>
      <c r="B197" s="154"/>
      <c r="C197" s="155"/>
      <c r="D197" s="156">
        <v>2212</v>
      </c>
      <c r="E197" s="156">
        <v>6121</v>
      </c>
      <c r="F197" s="158" t="s">
        <v>18</v>
      </c>
      <c r="G197" s="159">
        <v>0</v>
      </c>
      <c r="H197" s="160">
        <f>11714.783-4000+63.767+145.019+23.655</f>
        <v>7947.2239999999993</v>
      </c>
      <c r="I197" s="161"/>
      <c r="J197" s="160">
        <f>H197+I197</f>
        <v>7947.2239999999993</v>
      </c>
    </row>
    <row r="198" spans="1:10" ht="15.6" hidden="1" customHeight="1" thickBot="1" x14ac:dyDescent="0.25">
      <c r="A198" s="189"/>
      <c r="B198" s="49"/>
      <c r="C198" s="44" t="s">
        <v>71</v>
      </c>
      <c r="D198" s="42">
        <v>2212</v>
      </c>
      <c r="E198" s="42">
        <v>6121</v>
      </c>
      <c r="F198" s="28" t="s">
        <v>18</v>
      </c>
      <c r="G198" s="166">
        <v>0</v>
      </c>
      <c r="H198" s="123">
        <v>4000</v>
      </c>
      <c r="I198" s="148"/>
      <c r="J198" s="149">
        <f>H198+I198</f>
        <v>4000</v>
      </c>
    </row>
    <row r="199" spans="1:10" ht="15.6" hidden="1" customHeight="1" x14ac:dyDescent="0.2">
      <c r="A199" s="189"/>
      <c r="B199" s="90" t="s">
        <v>2</v>
      </c>
      <c r="C199" s="91" t="s">
        <v>180</v>
      </c>
      <c r="D199" s="92" t="s">
        <v>0</v>
      </c>
      <c r="E199" s="92" t="s">
        <v>0</v>
      </c>
      <c r="F199" s="117" t="s">
        <v>181</v>
      </c>
      <c r="G199" s="83">
        <f>SUM(G200:G201)</f>
        <v>0</v>
      </c>
      <c r="H199" s="83">
        <f>SUM(H200:H201)</f>
        <v>38655.603999999999</v>
      </c>
      <c r="I199" s="82">
        <f>SUM(I200:I201)</f>
        <v>0</v>
      </c>
      <c r="J199" s="83">
        <f>SUM(J200:J201)</f>
        <v>38655.603999999999</v>
      </c>
    </row>
    <row r="200" spans="1:10" ht="15.6" hidden="1" customHeight="1" x14ac:dyDescent="0.2">
      <c r="A200" s="189"/>
      <c r="B200" s="95"/>
      <c r="C200" s="96"/>
      <c r="D200" s="97">
        <v>2212</v>
      </c>
      <c r="E200" s="97">
        <v>5169</v>
      </c>
      <c r="F200" s="146" t="s">
        <v>10</v>
      </c>
      <c r="G200" s="125">
        <v>0</v>
      </c>
      <c r="H200" s="125">
        <f>48.267+118.58+2.287</f>
        <v>169.13400000000001</v>
      </c>
      <c r="I200" s="126"/>
      <c r="J200" s="89">
        <f>H200+I200</f>
        <v>169.13400000000001</v>
      </c>
    </row>
    <row r="201" spans="1:10" ht="15.6" hidden="1" customHeight="1" thickBot="1" x14ac:dyDescent="0.25">
      <c r="A201" s="189"/>
      <c r="B201" s="130"/>
      <c r="C201" s="127"/>
      <c r="D201" s="120">
        <v>2212</v>
      </c>
      <c r="E201" s="151">
        <v>5171</v>
      </c>
      <c r="F201" s="131" t="s">
        <v>37</v>
      </c>
      <c r="G201" s="88">
        <v>0</v>
      </c>
      <c r="H201" s="74">
        <v>38486.47</v>
      </c>
      <c r="I201" s="76"/>
      <c r="J201" s="74">
        <f>H201+I201</f>
        <v>38486.47</v>
      </c>
    </row>
    <row r="202" spans="1:10" ht="15.6" hidden="1" customHeight="1" x14ac:dyDescent="0.2">
      <c r="A202" s="189"/>
      <c r="B202" s="90" t="s">
        <v>2</v>
      </c>
      <c r="C202" s="91" t="s">
        <v>182</v>
      </c>
      <c r="D202" s="92" t="s">
        <v>0</v>
      </c>
      <c r="E202" s="92" t="s">
        <v>0</v>
      </c>
      <c r="F202" s="117" t="s">
        <v>183</v>
      </c>
      <c r="G202" s="83">
        <f>SUM(G203:G204)</f>
        <v>0</v>
      </c>
      <c r="H202" s="83">
        <f>SUM(H203:H204)</f>
        <v>3905.991</v>
      </c>
      <c r="I202" s="82">
        <f>SUM(I203:I204)</f>
        <v>0</v>
      </c>
      <c r="J202" s="83">
        <f>SUM(J203:J204)</f>
        <v>3905.991</v>
      </c>
    </row>
    <row r="203" spans="1:10" ht="15.6" hidden="1" customHeight="1" x14ac:dyDescent="0.2">
      <c r="A203" s="189"/>
      <c r="B203" s="95"/>
      <c r="C203" s="96"/>
      <c r="D203" s="97">
        <v>2212</v>
      </c>
      <c r="E203" s="97">
        <v>5169</v>
      </c>
      <c r="F203" s="146" t="s">
        <v>10</v>
      </c>
      <c r="G203" s="125">
        <v>0</v>
      </c>
      <c r="H203" s="125">
        <v>34.000999999999998</v>
      </c>
      <c r="I203" s="126"/>
      <c r="J203" s="89">
        <f>H203+I203</f>
        <v>34.000999999999998</v>
      </c>
    </row>
    <row r="204" spans="1:10" ht="15.6" hidden="1" customHeight="1" thickBot="1" x14ac:dyDescent="0.25">
      <c r="A204" s="189"/>
      <c r="B204" s="130"/>
      <c r="C204" s="127"/>
      <c r="D204" s="120">
        <v>2212</v>
      </c>
      <c r="E204" s="151">
        <v>5171</v>
      </c>
      <c r="F204" s="131" t="s">
        <v>37</v>
      </c>
      <c r="G204" s="88">
        <v>0</v>
      </c>
      <c r="H204" s="74">
        <v>3871.99</v>
      </c>
      <c r="I204" s="76"/>
      <c r="J204" s="74">
        <f>H204+I204</f>
        <v>3871.99</v>
      </c>
    </row>
    <row r="205" spans="1:10" ht="15.6" hidden="1" customHeight="1" x14ac:dyDescent="0.2">
      <c r="A205" s="189"/>
      <c r="B205" s="90" t="s">
        <v>2</v>
      </c>
      <c r="C205" s="91" t="s">
        <v>184</v>
      </c>
      <c r="D205" s="92" t="s">
        <v>0</v>
      </c>
      <c r="E205" s="92" t="s">
        <v>0</v>
      </c>
      <c r="F205" s="117" t="s">
        <v>185</v>
      </c>
      <c r="G205" s="83">
        <f>SUM(G206:G207)</f>
        <v>0</v>
      </c>
      <c r="H205" s="83">
        <f>SUM(H206:H207)</f>
        <v>22369.879000000001</v>
      </c>
      <c r="I205" s="82">
        <f>SUM(I206:I207)</f>
        <v>0</v>
      </c>
      <c r="J205" s="83">
        <f>SUM(J206:J207)</f>
        <v>22369.879000000001</v>
      </c>
    </row>
    <row r="206" spans="1:10" ht="15.6" hidden="1" customHeight="1" x14ac:dyDescent="0.2">
      <c r="A206" s="189"/>
      <c r="B206" s="154"/>
      <c r="C206" s="155"/>
      <c r="D206" s="156">
        <v>2212</v>
      </c>
      <c r="E206" s="156">
        <v>6121</v>
      </c>
      <c r="F206" s="158" t="s">
        <v>18</v>
      </c>
      <c r="G206" s="159">
        <v>0</v>
      </c>
      <c r="H206" s="160">
        <f>22205.924-6000-2000+118.58+45.375</f>
        <v>14369.878999999999</v>
      </c>
      <c r="I206" s="161"/>
      <c r="J206" s="160">
        <f>H206+I206</f>
        <v>14369.878999999999</v>
      </c>
    </row>
    <row r="207" spans="1:10" ht="15.6" hidden="1" customHeight="1" thickBot="1" x14ac:dyDescent="0.25">
      <c r="A207" s="189"/>
      <c r="B207" s="49"/>
      <c r="C207" s="44" t="s">
        <v>71</v>
      </c>
      <c r="D207" s="42">
        <v>2212</v>
      </c>
      <c r="E207" s="42">
        <v>6121</v>
      </c>
      <c r="F207" s="28" t="s">
        <v>18</v>
      </c>
      <c r="G207" s="166">
        <v>0</v>
      </c>
      <c r="H207" s="166">
        <f>6000+2000</f>
        <v>8000</v>
      </c>
      <c r="I207" s="148"/>
      <c r="J207" s="177">
        <f>H207+I207</f>
        <v>8000</v>
      </c>
    </row>
    <row r="208" spans="1:10" ht="15.6" hidden="1" customHeight="1" x14ac:dyDescent="0.2">
      <c r="A208" s="189"/>
      <c r="B208" s="90" t="s">
        <v>2</v>
      </c>
      <c r="C208" s="91" t="s">
        <v>188</v>
      </c>
      <c r="D208" s="92" t="s">
        <v>0</v>
      </c>
      <c r="E208" s="92" t="s">
        <v>0</v>
      </c>
      <c r="F208" s="117" t="s">
        <v>189</v>
      </c>
      <c r="G208" s="83">
        <f>SUM(G209:G210)</f>
        <v>0</v>
      </c>
      <c r="H208" s="83">
        <f>SUM(H209:H210)</f>
        <v>17017.009000000002</v>
      </c>
      <c r="I208" s="82">
        <f>SUM(I209:I210)</f>
        <v>0</v>
      </c>
      <c r="J208" s="83">
        <f>SUM(J209:J210)</f>
        <v>17017.009000000002</v>
      </c>
    </row>
    <row r="209" spans="1:10" ht="15.6" hidden="1" customHeight="1" x14ac:dyDescent="0.2">
      <c r="A209" s="189"/>
      <c r="B209" s="95"/>
      <c r="C209" s="96"/>
      <c r="D209" s="97">
        <v>2212</v>
      </c>
      <c r="E209" s="97">
        <v>5169</v>
      </c>
      <c r="F209" s="146" t="s">
        <v>10</v>
      </c>
      <c r="G209" s="125">
        <v>0</v>
      </c>
      <c r="H209" s="125">
        <v>105.27</v>
      </c>
      <c r="I209" s="126"/>
      <c r="J209" s="89">
        <f>H209+I209</f>
        <v>105.27</v>
      </c>
    </row>
    <row r="210" spans="1:10" ht="15.6" hidden="1" customHeight="1" thickBot="1" x14ac:dyDescent="0.25">
      <c r="A210" s="189"/>
      <c r="B210" s="130"/>
      <c r="C210" s="127"/>
      <c r="D210" s="120">
        <v>2212</v>
      </c>
      <c r="E210" s="151">
        <v>5171</v>
      </c>
      <c r="F210" s="131" t="s">
        <v>37</v>
      </c>
      <c r="G210" s="88">
        <v>0</v>
      </c>
      <c r="H210" s="74">
        <v>16911.739000000001</v>
      </c>
      <c r="I210" s="76"/>
      <c r="J210" s="74">
        <f>H210+I210</f>
        <v>16911.739000000001</v>
      </c>
    </row>
    <row r="211" spans="1:10" ht="15.6" hidden="1" customHeight="1" x14ac:dyDescent="0.2">
      <c r="A211" s="189"/>
      <c r="B211" s="90" t="s">
        <v>2</v>
      </c>
      <c r="C211" s="91" t="s">
        <v>190</v>
      </c>
      <c r="D211" s="92" t="s">
        <v>0</v>
      </c>
      <c r="E211" s="92" t="s">
        <v>0</v>
      </c>
      <c r="F211" s="117" t="s">
        <v>191</v>
      </c>
      <c r="G211" s="83">
        <f>SUM(G212:G213)</f>
        <v>0</v>
      </c>
      <c r="H211" s="83">
        <f>SUM(H212:H213)</f>
        <v>8993.3259999999991</v>
      </c>
      <c r="I211" s="82">
        <f>SUM(I212:I213)</f>
        <v>0</v>
      </c>
      <c r="J211" s="83">
        <f>SUM(J212:J213)</f>
        <v>8993.3259999999991</v>
      </c>
    </row>
    <row r="212" spans="1:10" ht="15.6" hidden="1" customHeight="1" x14ac:dyDescent="0.2">
      <c r="A212" s="189"/>
      <c r="B212" s="95"/>
      <c r="C212" s="96"/>
      <c r="D212" s="97">
        <v>2212</v>
      </c>
      <c r="E212" s="97">
        <v>5169</v>
      </c>
      <c r="F212" s="146" t="s">
        <v>10</v>
      </c>
      <c r="G212" s="125">
        <v>0</v>
      </c>
      <c r="H212" s="125">
        <v>46.585000000000001</v>
      </c>
      <c r="I212" s="126"/>
      <c r="J212" s="89">
        <f>H212+I212</f>
        <v>46.585000000000001</v>
      </c>
    </row>
    <row r="213" spans="1:10" ht="15.6" hidden="1" customHeight="1" thickBot="1" x14ac:dyDescent="0.25">
      <c r="A213" s="189"/>
      <c r="B213" s="130"/>
      <c r="C213" s="127"/>
      <c r="D213" s="120">
        <v>2212</v>
      </c>
      <c r="E213" s="151">
        <v>5171</v>
      </c>
      <c r="F213" s="131" t="s">
        <v>37</v>
      </c>
      <c r="G213" s="88">
        <v>0</v>
      </c>
      <c r="H213" s="125">
        <v>8946.741</v>
      </c>
      <c r="I213" s="126"/>
      <c r="J213" s="74">
        <f>H213+I213</f>
        <v>8946.741</v>
      </c>
    </row>
    <row r="214" spans="1:10" ht="15.6" hidden="1" customHeight="1" x14ac:dyDescent="0.2">
      <c r="A214" s="189"/>
      <c r="B214" s="90" t="s">
        <v>2</v>
      </c>
      <c r="C214" s="91" t="s">
        <v>193</v>
      </c>
      <c r="D214" s="92" t="s">
        <v>0</v>
      </c>
      <c r="E214" s="92" t="s">
        <v>0</v>
      </c>
      <c r="F214" s="117" t="s">
        <v>194</v>
      </c>
      <c r="G214" s="83">
        <f>SUM(G215:G216)</f>
        <v>0</v>
      </c>
      <c r="H214" s="83">
        <f>SUM(H215:H216)</f>
        <v>33.637999999999998</v>
      </c>
      <c r="I214" s="82">
        <f>SUM(I215:I216)</f>
        <v>0</v>
      </c>
      <c r="J214" s="83">
        <f>SUM(J215:J216)</f>
        <v>33.637999999999998</v>
      </c>
    </row>
    <row r="215" spans="1:10" ht="15.6" hidden="1" customHeight="1" x14ac:dyDescent="0.2">
      <c r="A215" s="189"/>
      <c r="B215" s="95"/>
      <c r="C215" s="96"/>
      <c r="D215" s="97">
        <v>2212</v>
      </c>
      <c r="E215" s="97">
        <v>5169</v>
      </c>
      <c r="F215" s="146" t="s">
        <v>10</v>
      </c>
      <c r="G215" s="125">
        <v>0</v>
      </c>
      <c r="H215" s="125">
        <v>33.637999999999998</v>
      </c>
      <c r="I215" s="126"/>
      <c r="J215" s="89">
        <f>H215+I215</f>
        <v>33.637999999999998</v>
      </c>
    </row>
    <row r="216" spans="1:10" ht="15.6" hidden="1" customHeight="1" thickBot="1" x14ac:dyDescent="0.25">
      <c r="A216" s="189"/>
      <c r="B216" s="130"/>
      <c r="C216" s="127"/>
      <c r="D216" s="120">
        <v>2212</v>
      </c>
      <c r="E216" s="151">
        <v>5171</v>
      </c>
      <c r="F216" s="131" t="s">
        <v>37</v>
      </c>
      <c r="G216" s="88">
        <v>0</v>
      </c>
      <c r="H216" s="74"/>
      <c r="I216" s="76"/>
      <c r="J216" s="74">
        <f>H216+I216</f>
        <v>0</v>
      </c>
    </row>
    <row r="217" spans="1:10" ht="15.6" hidden="1" customHeight="1" x14ac:dyDescent="0.2">
      <c r="A217" s="189"/>
      <c r="B217" s="90" t="s">
        <v>2</v>
      </c>
      <c r="C217" s="91" t="s">
        <v>195</v>
      </c>
      <c r="D217" s="92" t="s">
        <v>0</v>
      </c>
      <c r="E217" s="92" t="s">
        <v>0</v>
      </c>
      <c r="F217" s="117" t="s">
        <v>196</v>
      </c>
      <c r="G217" s="83">
        <f>SUM(G218:G219)</f>
        <v>0</v>
      </c>
      <c r="H217" s="83">
        <f>SUM(H218:H219)</f>
        <v>6837.6770000000006</v>
      </c>
      <c r="I217" s="82">
        <f>SUM(I218:I219)</f>
        <v>0</v>
      </c>
      <c r="J217" s="83">
        <f>SUM(J218:J219)</f>
        <v>6837.6770000000006</v>
      </c>
    </row>
    <row r="218" spans="1:10" ht="15.6" hidden="1" customHeight="1" x14ac:dyDescent="0.2">
      <c r="A218" s="189"/>
      <c r="B218" s="95"/>
      <c r="C218" s="96"/>
      <c r="D218" s="97">
        <v>2212</v>
      </c>
      <c r="E218" s="97">
        <v>5169</v>
      </c>
      <c r="F218" s="146" t="s">
        <v>10</v>
      </c>
      <c r="G218" s="125">
        <v>0</v>
      </c>
      <c r="H218" s="125">
        <v>61.951999999999998</v>
      </c>
      <c r="I218" s="126"/>
      <c r="J218" s="89">
        <f>H218+I218</f>
        <v>61.951999999999998</v>
      </c>
    </row>
    <row r="219" spans="1:10" ht="15.6" hidden="1" customHeight="1" thickBot="1" x14ac:dyDescent="0.25">
      <c r="A219" s="189"/>
      <c r="B219" s="130"/>
      <c r="C219" s="127"/>
      <c r="D219" s="120">
        <v>2212</v>
      </c>
      <c r="E219" s="151">
        <v>5171</v>
      </c>
      <c r="F219" s="131" t="s">
        <v>37</v>
      </c>
      <c r="G219" s="88">
        <v>0</v>
      </c>
      <c r="H219" s="74">
        <v>6775.7250000000004</v>
      </c>
      <c r="I219" s="76"/>
      <c r="J219" s="74">
        <f>H219+I219</f>
        <v>6775.7250000000004</v>
      </c>
    </row>
    <row r="220" spans="1:10" ht="15.6" hidden="1" customHeight="1" x14ac:dyDescent="0.2">
      <c r="A220" s="189"/>
      <c r="B220" s="90" t="s">
        <v>2</v>
      </c>
      <c r="C220" s="91" t="s">
        <v>197</v>
      </c>
      <c r="D220" s="92" t="s">
        <v>0</v>
      </c>
      <c r="E220" s="92" t="s">
        <v>0</v>
      </c>
      <c r="F220" s="117" t="s">
        <v>198</v>
      </c>
      <c r="G220" s="83">
        <f>SUM(G221:G222)</f>
        <v>0</v>
      </c>
      <c r="H220" s="83">
        <f>SUM(H221:H222)</f>
        <v>9155.8900000000012</v>
      </c>
      <c r="I220" s="82">
        <f>SUM(I221:I222)</f>
        <v>0</v>
      </c>
      <c r="J220" s="83">
        <f>SUM(J221:J222)</f>
        <v>9155.8900000000012</v>
      </c>
    </row>
    <row r="221" spans="1:10" ht="15.6" hidden="1" customHeight="1" x14ac:dyDescent="0.2">
      <c r="A221" s="189"/>
      <c r="B221" s="95"/>
      <c r="C221" s="96"/>
      <c r="D221" s="97">
        <v>2212</v>
      </c>
      <c r="E221" s="97">
        <v>5169</v>
      </c>
      <c r="F221" s="146" t="s">
        <v>10</v>
      </c>
      <c r="G221" s="125">
        <v>0</v>
      </c>
      <c r="H221" s="125">
        <v>80.405000000000001</v>
      </c>
      <c r="I221" s="126"/>
      <c r="J221" s="89">
        <f>H221+I221</f>
        <v>80.405000000000001</v>
      </c>
    </row>
    <row r="222" spans="1:10" ht="15.6" hidden="1" customHeight="1" thickBot="1" x14ac:dyDescent="0.25">
      <c r="A222" s="189"/>
      <c r="B222" s="130"/>
      <c r="C222" s="127"/>
      <c r="D222" s="120">
        <v>2212</v>
      </c>
      <c r="E222" s="151">
        <v>5171</v>
      </c>
      <c r="F222" s="131" t="s">
        <v>37</v>
      </c>
      <c r="G222" s="88">
        <v>0</v>
      </c>
      <c r="H222" s="74">
        <v>9075.4850000000006</v>
      </c>
      <c r="I222" s="76"/>
      <c r="J222" s="74">
        <f>H222+I222</f>
        <v>9075.4850000000006</v>
      </c>
    </row>
    <row r="223" spans="1:10" ht="15.6" hidden="1" customHeight="1" x14ac:dyDescent="0.2">
      <c r="A223" s="189"/>
      <c r="B223" s="90" t="s">
        <v>2</v>
      </c>
      <c r="C223" s="91" t="s">
        <v>199</v>
      </c>
      <c r="D223" s="92" t="s">
        <v>0</v>
      </c>
      <c r="E223" s="92" t="s">
        <v>0</v>
      </c>
      <c r="F223" s="117" t="s">
        <v>200</v>
      </c>
      <c r="G223" s="83">
        <f>SUM(G224:G225)</f>
        <v>0</v>
      </c>
      <c r="H223" s="83">
        <f>SUM(H224:H225)</f>
        <v>7158.4989999999998</v>
      </c>
      <c r="I223" s="82">
        <f>SUM(I224:I225)</f>
        <v>0</v>
      </c>
      <c r="J223" s="83">
        <f>SUM(J224:J225)</f>
        <v>7158.4989999999998</v>
      </c>
    </row>
    <row r="224" spans="1:10" ht="15.6" hidden="1" customHeight="1" x14ac:dyDescent="0.2">
      <c r="A224" s="189"/>
      <c r="B224" s="95"/>
      <c r="C224" s="96"/>
      <c r="D224" s="97">
        <v>2212</v>
      </c>
      <c r="E224" s="97">
        <v>5169</v>
      </c>
      <c r="F224" s="146" t="s">
        <v>10</v>
      </c>
      <c r="G224" s="125">
        <v>0</v>
      </c>
      <c r="H224" s="125">
        <v>63.222999999999999</v>
      </c>
      <c r="I224" s="126"/>
      <c r="J224" s="89">
        <f>H224+I224</f>
        <v>63.222999999999999</v>
      </c>
    </row>
    <row r="225" spans="1:10" ht="15.6" hidden="1" customHeight="1" thickBot="1" x14ac:dyDescent="0.25">
      <c r="A225" s="189"/>
      <c r="B225" s="130"/>
      <c r="C225" s="127"/>
      <c r="D225" s="120">
        <v>2212</v>
      </c>
      <c r="E225" s="151">
        <v>5171</v>
      </c>
      <c r="F225" s="131" t="s">
        <v>37</v>
      </c>
      <c r="G225" s="88">
        <v>0</v>
      </c>
      <c r="H225" s="74">
        <v>7095.2759999999998</v>
      </c>
      <c r="I225" s="76"/>
      <c r="J225" s="74">
        <f>H225+I225</f>
        <v>7095.2759999999998</v>
      </c>
    </row>
    <row r="226" spans="1:10" ht="15.6" hidden="1" customHeight="1" x14ac:dyDescent="0.2">
      <c r="A226" s="189"/>
      <c r="B226" s="90" t="s">
        <v>2</v>
      </c>
      <c r="C226" s="91" t="s">
        <v>201</v>
      </c>
      <c r="D226" s="92" t="s">
        <v>0</v>
      </c>
      <c r="E226" s="92" t="s">
        <v>0</v>
      </c>
      <c r="F226" s="117" t="s">
        <v>202</v>
      </c>
      <c r="G226" s="83">
        <f>SUM(G227:G228)</f>
        <v>0</v>
      </c>
      <c r="H226" s="83">
        <f>SUM(H227:H228)</f>
        <v>26.62</v>
      </c>
      <c r="I226" s="82">
        <f>SUM(I227:I228)</f>
        <v>0</v>
      </c>
      <c r="J226" s="83">
        <f>SUM(J227:J228)</f>
        <v>26.62</v>
      </c>
    </row>
    <row r="227" spans="1:10" ht="15.6" hidden="1" customHeight="1" x14ac:dyDescent="0.2">
      <c r="A227" s="189"/>
      <c r="B227" s="95"/>
      <c r="C227" s="96"/>
      <c r="D227" s="97">
        <v>2212</v>
      </c>
      <c r="E227" s="97">
        <v>5169</v>
      </c>
      <c r="F227" s="146" t="s">
        <v>10</v>
      </c>
      <c r="G227" s="125">
        <v>0</v>
      </c>
      <c r="H227" s="125">
        <v>26.62</v>
      </c>
      <c r="I227" s="126"/>
      <c r="J227" s="89">
        <f>H227+I227</f>
        <v>26.62</v>
      </c>
    </row>
    <row r="228" spans="1:10" ht="15.6" hidden="1" customHeight="1" thickBot="1" x14ac:dyDescent="0.25">
      <c r="A228" s="189"/>
      <c r="B228" s="130"/>
      <c r="C228" s="127"/>
      <c r="D228" s="120">
        <v>2212</v>
      </c>
      <c r="E228" s="151">
        <v>5171</v>
      </c>
      <c r="F228" s="131" t="s">
        <v>37</v>
      </c>
      <c r="G228" s="88">
        <v>0</v>
      </c>
      <c r="H228" s="74"/>
      <c r="I228" s="76"/>
      <c r="J228" s="74">
        <f>H228+I228</f>
        <v>0</v>
      </c>
    </row>
    <row r="229" spans="1:10" ht="15.6" hidden="1" customHeight="1" x14ac:dyDescent="0.2">
      <c r="A229" s="189"/>
      <c r="B229" s="90" t="s">
        <v>2</v>
      </c>
      <c r="C229" s="91" t="s">
        <v>203</v>
      </c>
      <c r="D229" s="92" t="s">
        <v>0</v>
      </c>
      <c r="E229" s="92" t="s">
        <v>0</v>
      </c>
      <c r="F229" s="117" t="s">
        <v>204</v>
      </c>
      <c r="G229" s="83">
        <f>SUM(G230:G231)</f>
        <v>0</v>
      </c>
      <c r="H229" s="83">
        <f>SUM(H230:H231)</f>
        <v>3058.4859999999999</v>
      </c>
      <c r="I229" s="82">
        <f>SUM(I230:I231)</f>
        <v>0</v>
      </c>
      <c r="J229" s="83">
        <f>SUM(J230:J231)</f>
        <v>3058.4859999999999</v>
      </c>
    </row>
    <row r="230" spans="1:10" ht="15.6" hidden="1" customHeight="1" x14ac:dyDescent="0.2">
      <c r="A230" s="189"/>
      <c r="B230" s="95"/>
      <c r="C230" s="96"/>
      <c r="D230" s="97">
        <v>2212</v>
      </c>
      <c r="E230" s="97">
        <v>5169</v>
      </c>
      <c r="F230" s="146" t="s">
        <v>10</v>
      </c>
      <c r="G230" s="125">
        <v>0</v>
      </c>
      <c r="H230" s="125">
        <v>53.24</v>
      </c>
      <c r="I230" s="126"/>
      <c r="J230" s="89">
        <f>H230+I230</f>
        <v>53.24</v>
      </c>
    </row>
    <row r="231" spans="1:10" ht="15.6" hidden="1" customHeight="1" thickBot="1" x14ac:dyDescent="0.25">
      <c r="A231" s="190"/>
      <c r="B231" s="130"/>
      <c r="C231" s="127"/>
      <c r="D231" s="120">
        <v>2212</v>
      </c>
      <c r="E231" s="151">
        <v>5171</v>
      </c>
      <c r="F231" s="131" t="s">
        <v>37</v>
      </c>
      <c r="G231" s="88">
        <v>0</v>
      </c>
      <c r="H231" s="74">
        <v>3005.2460000000001</v>
      </c>
      <c r="I231" s="76"/>
      <c r="J231" s="74">
        <f>H231+I231</f>
        <v>3005.2460000000001</v>
      </c>
    </row>
    <row r="232" spans="1:10" ht="15.6" customHeight="1" x14ac:dyDescent="0.2">
      <c r="A232" s="178"/>
    </row>
    <row r="234" spans="1:10" x14ac:dyDescent="0.2">
      <c r="I234" s="16"/>
    </row>
  </sheetData>
  <autoFilter ref="B128:J231"/>
  <mergeCells count="13">
    <mergeCell ref="A1:J1"/>
    <mergeCell ref="A3:J3"/>
    <mergeCell ref="A5:J5"/>
    <mergeCell ref="A7:A8"/>
    <mergeCell ref="B7:B8"/>
    <mergeCell ref="C7:C8"/>
    <mergeCell ref="D7:D8"/>
    <mergeCell ref="E7:E8"/>
    <mergeCell ref="F7:F8"/>
    <mergeCell ref="G7:G8"/>
    <mergeCell ref="H7:H8"/>
    <mergeCell ref="I7:J7"/>
    <mergeCell ref="A10:A231"/>
  </mergeCells>
  <printOptions horizontalCentered="1"/>
  <pageMargins left="0.19685039370078741" right="0.19685039370078741" top="0.59055118110236227" bottom="0.59055118110236227" header="0" footer="0"/>
  <pageSetup paperSize="9" scale="93" orientation="portrait" r:id="rId1"/>
  <headerFooter>
    <oddHeader>&amp;R&amp;F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920 06</vt:lpstr>
      <vt:lpstr>'920 06'!Názvy_tisku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Teufl Leoš</cp:lastModifiedBy>
  <cp:lastPrinted>2018-07-30T10:45:52Z</cp:lastPrinted>
  <dcterms:created xsi:type="dcterms:W3CDTF">2006-09-25T08:49:57Z</dcterms:created>
  <dcterms:modified xsi:type="dcterms:W3CDTF">2018-11-28T08:59:34Z</dcterms:modified>
</cp:coreProperties>
</file>